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45" windowHeight="4605" tabRatio="911" firstSheet="1" activeTab="7"/>
  </bookViews>
  <sheets>
    <sheet name="Con B&amp;S" sheetId="1" r:id="rId1"/>
    <sheet name="Con P&amp;L" sheetId="2" r:id="rId2"/>
    <sheet name="Con B&amp;S Journals" sheetId="3" r:id="rId3"/>
    <sheet name="Con P&amp;L Journals" sheetId="4" r:id="rId4"/>
    <sheet name="Journals " sheetId="5" r:id="rId5"/>
    <sheet name="KLSE PL" sheetId="6" r:id="rId6"/>
    <sheet name="KLSE BS" sheetId="7" r:id="rId7"/>
    <sheet name="KLSE Note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 localSheetId="4">'[6]Con P&amp;L'!#REF!</definedName>
    <definedName name="\c">'Con P&amp;L'!#REF!</definedName>
    <definedName name="\f" localSheetId="1">'Con P&amp;L'!#REF!</definedName>
    <definedName name="\f" localSheetId="3">'Con P&amp;L'!#REF!</definedName>
    <definedName name="\f" localSheetId="4">'[6]Con B&amp;S'!#REF!</definedName>
    <definedName name="\f">'Con B&amp;S'!#REF!</definedName>
    <definedName name="\p" localSheetId="4">'[6]Con P&amp;L'!#REF!</definedName>
    <definedName name="\p">'Con P&amp;L'!#REF!</definedName>
    <definedName name="_Regression_Int" localSheetId="0" hidden="1">1</definedName>
    <definedName name="_Regression_Int" localSheetId="1" hidden="1">1</definedName>
    <definedName name="DATE" localSheetId="4">'[7]TB'!#REF!</definedName>
    <definedName name="DATE">'[1]TB'!#REF!</definedName>
    <definedName name="PL">'Con P&amp;L'!$A$1:$BL$54</definedName>
    <definedName name="_xlnm.Print_Area" localSheetId="0">'Con B&amp;S'!$A$1:$BM$69</definedName>
    <definedName name="_xlnm.Print_Area" localSheetId="2">'Con B&amp;S Journals'!$A$1:$F$391</definedName>
    <definedName name="_xlnm.Print_Area" localSheetId="1">'Con P&amp;L'!$A$1:$BL$50</definedName>
    <definedName name="_xlnm.Print_Area" localSheetId="3">'Con P&amp;L Journals'!$A$1:$F$261</definedName>
    <definedName name="_xlnm.Print_Area" localSheetId="4">'Journals '!$A$6:$I$1093</definedName>
    <definedName name="_xlnm.Print_Area" localSheetId="6">'KLSE BS'!$B$1:$G$65</definedName>
    <definedName name="_xlnm.Print_Area" localSheetId="7">'KLSE Notes'!$A$1:$L$140</definedName>
    <definedName name="_xlnm.Print_Area" localSheetId="5">'KLSE PL'!$A$1:$J$120</definedName>
    <definedName name="Print_Area_MI" localSheetId="1">'Con P&amp;L'!$A$1:$I$54</definedName>
    <definedName name="Print_Area_MI" localSheetId="3">'Con P&amp;L'!$A$1:$I$54</definedName>
    <definedName name="Print_Area_MI">'Con B&amp;S'!$AC$1:$BM$68</definedName>
    <definedName name="_xlnm.Print_Titles" localSheetId="2">'Con B&amp;S Journals'!$1:$6</definedName>
    <definedName name="_xlnm.Print_Titles" localSheetId="3">'Con P&amp;L Journals'!$1:$6</definedName>
    <definedName name="_xlnm.Print_Titles" localSheetId="4">'Journals '!$1:$5</definedName>
    <definedName name="SCHEDULE">'Con P&amp;L'!$A$64:$BL$108</definedName>
  </definedNames>
  <calcPr fullCalcOnLoad="1"/>
</workbook>
</file>

<file path=xl/comments1.xml><?xml version="1.0" encoding="utf-8"?>
<comments xmlns="http://schemas.openxmlformats.org/spreadsheetml/2006/main">
  <authors>
    <author>AUSTRAL </author>
    <author>PwC</author>
  </authors>
  <commentList>
    <comment ref="AE53" authorId="0">
      <text>
        <r>
          <rPr>
            <sz val="8"/>
            <rFont val="Tahoma"/>
            <family val="0"/>
          </rPr>
          <t xml:space="preserve">Danau Kota Development Sdn Bhd
</t>
        </r>
      </text>
    </comment>
    <comment ref="T53" authorId="0">
      <text>
        <r>
          <rPr>
            <sz val="8"/>
            <rFont val="Tahoma"/>
            <family val="0"/>
          </rPr>
          <t xml:space="preserve">Austral Amalgamated Assets Sdn Bhd
</t>
        </r>
      </text>
    </comment>
    <comment ref="AN53" authorId="0">
      <text>
        <r>
          <rPr>
            <sz val="8"/>
            <rFont val="Tahoma"/>
            <family val="0"/>
          </rPr>
          <t xml:space="preserve">Austral Amalgamated Assets Sdn Bhd
</t>
        </r>
      </text>
    </comment>
    <comment ref="AO53" authorId="0">
      <text>
        <r>
          <rPr>
            <sz val="8"/>
            <rFont val="Tahoma"/>
            <family val="0"/>
          </rPr>
          <t xml:space="preserve">Likas View Sdn Bhd
</t>
        </r>
      </text>
    </comment>
    <comment ref="BJ53" authorId="0">
      <text>
        <r>
          <rPr>
            <sz val="8"/>
            <rFont val="Tahoma"/>
            <family val="0"/>
          </rPr>
          <t xml:space="preserve">Iras Prima Sdn Bhd
</t>
        </r>
      </text>
    </comment>
    <comment ref="V26" authorId="0">
      <text>
        <r>
          <rPr>
            <sz val="8"/>
            <rFont val="Tahoma"/>
            <family val="0"/>
          </rPr>
          <t xml:space="preserve">draft audit shows
21,528,929
</t>
        </r>
      </text>
    </comment>
    <comment ref="AV35" authorId="1">
      <text>
        <r>
          <rPr>
            <b/>
            <sz val="10"/>
            <rFont val="Tahoma"/>
            <family val="0"/>
          </rPr>
          <t>PwC:</t>
        </r>
        <r>
          <rPr>
            <sz val="10"/>
            <rFont val="Tahoma"/>
            <family val="0"/>
          </rPr>
          <t xml:space="preserve">
Deferred exp</t>
        </r>
      </text>
    </comment>
    <comment ref="L58" authorId="0">
      <text>
        <r>
          <rPr>
            <sz val="8"/>
            <rFont val="Tahoma"/>
            <family val="0"/>
          </rPr>
          <t xml:space="preserve">Tax Provision was made in June 2000 Consol = 816,863
This figure was not reflected in Sep 2000 A/C's.
</t>
        </r>
      </text>
    </comment>
    <comment ref="M58" authorId="0">
      <text>
        <r>
          <rPr>
            <sz val="8"/>
            <rFont val="Tahoma"/>
            <family val="0"/>
          </rPr>
          <t xml:space="preserve">Tax Provision was made in June 2000 Consol=1,227,675. This figure is not reflected in Sept 2000 A/C's.
</t>
        </r>
      </text>
    </comment>
    <comment ref="P58" authorId="0">
      <text>
        <r>
          <rPr>
            <sz val="8"/>
            <rFont val="Tahoma"/>
            <family val="0"/>
          </rPr>
          <t xml:space="preserve">Tax provision was made in June 2000 Consol =88,724. This figure is not reflected in Sept 2000 A/C's.
</t>
        </r>
      </text>
    </comment>
    <comment ref="AN58" authorId="0">
      <text>
        <r>
          <rPr>
            <sz val="8"/>
            <rFont val="Tahoma"/>
            <family val="0"/>
          </rPr>
          <t xml:space="preserve">Tax provision was made in June 2000 Consol= 15,235, This figure is not reflected in Sept 2000 A/C's
</t>
        </r>
      </text>
    </comment>
  </commentList>
</comments>
</file>

<file path=xl/comments2.xml><?xml version="1.0" encoding="utf-8"?>
<comments xmlns="http://schemas.openxmlformats.org/spreadsheetml/2006/main">
  <authors>
    <author>AUSTRAL </author>
  </authors>
  <commentList>
    <comment ref="T113" authorId="0">
      <text>
        <r>
          <rPr>
            <sz val="8"/>
            <rFont val="Tahoma"/>
            <family val="0"/>
          </rPr>
          <t xml:space="preserve">Last quarter turnover should have been nil.
Figure for 6.99 not adjusted
</t>
        </r>
      </text>
    </comment>
    <comment ref="Q8" authorId="0">
      <text>
        <r>
          <rPr>
            <sz val="8"/>
            <rFont val="Tahoma"/>
            <family val="0"/>
          </rPr>
          <t xml:space="preserve">Mr. Chow's a/c shows a turnover of 17,195,297.  It would be confusing to show here because the cost of sales is not shown and these figures were not shown in last quarter.
</t>
        </r>
      </text>
    </comment>
  </commentList>
</comments>
</file>

<file path=xl/sharedStrings.xml><?xml version="1.0" encoding="utf-8"?>
<sst xmlns="http://schemas.openxmlformats.org/spreadsheetml/2006/main" count="3348" uniqueCount="1467">
  <si>
    <t>Tours &amp; Trv.</t>
  </si>
  <si>
    <t>CAPITAL AND RESERVES</t>
  </si>
  <si>
    <t>MINORITY INTERESTS</t>
  </si>
  <si>
    <t>DEFERRED &amp; LONG TERM LIABILITIES</t>
  </si>
  <si>
    <t>Represented by:</t>
  </si>
  <si>
    <t>FIXED ASSETS</t>
  </si>
  <si>
    <t>SUBSIDIARY COMPANIES' BALANCES</t>
  </si>
  <si>
    <t>ASSOCIATED COMPANY</t>
  </si>
  <si>
    <t>INVESTMENTS</t>
  </si>
  <si>
    <t xml:space="preserve"> </t>
  </si>
  <si>
    <t>GOODWILL ON CONSOLIDATION</t>
  </si>
  <si>
    <t>CURRENT ASSETS</t>
  </si>
  <si>
    <t>CURRENT LIABILITIES</t>
  </si>
  <si>
    <t>NET CURRENT ASSETS/(LIABILITIES)</t>
  </si>
  <si>
    <t>DEFERRED EXPENDITURE C/F</t>
  </si>
  <si>
    <t>Consolidation adjustments</t>
  </si>
  <si>
    <t>Adj No</t>
  </si>
  <si>
    <t>Profit before borrowings,depreciation</t>
  </si>
  <si>
    <t xml:space="preserve">less: </t>
  </si>
  <si>
    <t>Loan interest</t>
  </si>
  <si>
    <t>Profit after  borrowings before depreciation</t>
  </si>
  <si>
    <t>Operating Profit</t>
  </si>
  <si>
    <t>KLSE QUARTERLY REPORTING FORMAT</t>
  </si>
  <si>
    <t>Amalgamated</t>
  </si>
  <si>
    <t>Danau Kota Development S/B</t>
  </si>
  <si>
    <t>D1</t>
  </si>
  <si>
    <t>Total Group adjustment for Share Capital</t>
  </si>
  <si>
    <t xml:space="preserve">Profound </t>
  </si>
  <si>
    <t>View S/B</t>
  </si>
  <si>
    <t>Foreign Exchange Reserve</t>
  </si>
  <si>
    <t>IEC LTD (Australia)</t>
  </si>
  <si>
    <t xml:space="preserve">    - profit unappropriated b/fwd</t>
  </si>
  <si>
    <t xml:space="preserve">    - profit unapprop current year</t>
  </si>
  <si>
    <t>Total Group adjustment for Exchange Equilisation Reserves</t>
  </si>
  <si>
    <t>Capital Reserves</t>
  </si>
  <si>
    <t>Total Group adjustment for Capital Reserves</t>
  </si>
  <si>
    <t>Reserve on Consolidation</t>
  </si>
  <si>
    <t>Total Group adjustment for Reserves on Consolidation</t>
  </si>
  <si>
    <t>Revenue Reserve</t>
  </si>
  <si>
    <t xml:space="preserve"> - From Profit &amp; Loss A/C</t>
  </si>
  <si>
    <t>Total Group adjustment for Revenue Reserves</t>
  </si>
  <si>
    <t>Total Group adjustment for MI</t>
  </si>
  <si>
    <t>Deferred Taxation</t>
  </si>
  <si>
    <t>Total Group adjustment for Deferred Taxation</t>
  </si>
  <si>
    <t>Fixed assets</t>
  </si>
  <si>
    <t>Profit/Loss on disposal</t>
  </si>
  <si>
    <t xml:space="preserve"> - current year</t>
  </si>
  <si>
    <t>Depreciation</t>
  </si>
  <si>
    <t>Total Group adjustment for Fixed Assets</t>
  </si>
  <si>
    <t>Investments in Subsidiaries</t>
  </si>
  <si>
    <t>Total Group adjustment for Investment in Subsidiaries</t>
  </si>
  <si>
    <t>Associated Company</t>
  </si>
  <si>
    <t>Total Group adjustment for Investment in Associated Co's</t>
  </si>
  <si>
    <t>Goodwill on Consolidation</t>
  </si>
  <si>
    <t>Total Group adjustment for Goodwill</t>
  </si>
  <si>
    <t>Project Development Expenditure</t>
  </si>
  <si>
    <t>Total Group adjustment for PDE</t>
  </si>
  <si>
    <t>Current Assets</t>
  </si>
  <si>
    <t xml:space="preserve"> Stocks (unrealised profit)</t>
  </si>
  <si>
    <t>Accumulated Loss</t>
  </si>
  <si>
    <t>iec</t>
  </si>
  <si>
    <t>IEC Ltd (share of loss for )</t>
  </si>
  <si>
    <t>City Finance Bhd (post acq profit 2000)</t>
  </si>
  <si>
    <t xml:space="preserve"> - brought forward</t>
  </si>
  <si>
    <t>@</t>
  </si>
  <si>
    <t xml:space="preserve"> Stocks (reclassification) - Armor Grp</t>
  </si>
  <si>
    <t xml:space="preserve"> Trade debtors</t>
  </si>
  <si>
    <t xml:space="preserve"> Amount owing by holding company</t>
  </si>
  <si>
    <t>#</t>
  </si>
  <si>
    <t xml:space="preserve"> Amount owing by subsidiary co.</t>
  </si>
  <si>
    <t xml:space="preserve"> Amount owing by related companies</t>
  </si>
  <si>
    <t>Current liabilities</t>
  </si>
  <si>
    <t xml:space="preserve"> Progress payments</t>
  </si>
  <si>
    <t xml:space="preserve"> Work-in-progress</t>
  </si>
  <si>
    <t xml:space="preserve"> Trade creditors</t>
  </si>
  <si>
    <t xml:space="preserve"> Other creditors &amp; accruals</t>
  </si>
  <si>
    <t xml:space="preserve"> Amount owing to holding company</t>
  </si>
  <si>
    <t xml:space="preserve"> Amount owing to subsidiary companies</t>
  </si>
  <si>
    <t xml:space="preserve"> Amount owing to related companies</t>
  </si>
  <si>
    <t xml:space="preserve"> Bank overdrafts</t>
  </si>
  <si>
    <t>Taxation - Interest accrued</t>
  </si>
  <si>
    <t>Unappropriated profit c/f</t>
  </si>
  <si>
    <t xml:space="preserve">     - Pre-operating expenses c/f writter off</t>
  </si>
  <si>
    <t xml:space="preserve">     - Pre-operating expenses c/f written off</t>
  </si>
  <si>
    <t xml:space="preserve">     - Prov. For bad debts - Other Debtors</t>
  </si>
  <si>
    <t xml:space="preserve">     - Prov. For bad debts - Trade Debtors</t>
  </si>
  <si>
    <t>Profit before tax (YE 6/99)</t>
  </si>
  <si>
    <t>(Being adjustments not taken up at consol. Level in June 1998 for Likas</t>
  </si>
  <si>
    <t xml:space="preserve">  Likas View Sdn Bhd)</t>
  </si>
  <si>
    <t>Y8</t>
  </si>
  <si>
    <t>Amount Owing by Subsidiaries</t>
  </si>
  <si>
    <t>Dividends payable</t>
  </si>
  <si>
    <t>PROFIT AND LOSS ACCOUNT OF WHOLLY-OWNED SUBSIDIARY COMPANIES (Active &amp; Semi Active)</t>
  </si>
  <si>
    <t>PROFIT AND LOSS ACCOUNT OF WHOLLY-OWNED SUBSIDIARY COMPANIES (Dormant 1)</t>
  </si>
  <si>
    <t>PROFIT AND LOSS ACCOUNT OF WHOLLY-OWNED SUBSIDIARY COMPANIES (Dormant 2)</t>
  </si>
  <si>
    <t>PROFIT AND LOSS ACCOUNT OF PARTLY-OWNED SUBSIDIARY COMPANIES</t>
  </si>
  <si>
    <t>DESCRIPTION</t>
  </si>
  <si>
    <t>TURNOVER</t>
  </si>
  <si>
    <t>OPERATING PROFIT / (LOSS)</t>
  </si>
  <si>
    <t>PROFIT BEFORE TAXATION</t>
  </si>
  <si>
    <t>PROFIT/(LOSS) AFTER TAXATION</t>
  </si>
  <si>
    <t>PROFIT/(LOSS) AFTER TAXATION &amp; MI</t>
  </si>
  <si>
    <t>PROFIT/(LOSS) AFTER EXTRAORDINARY ITEM</t>
  </si>
  <si>
    <t>UNAPPROPRIATED PROFIT / (ACCUMULATED LOSS) b/f</t>
  </si>
  <si>
    <t>PROFIT AVAILABLE FOR APPROPRIATION</t>
  </si>
  <si>
    <t>UNAPPROPRIATED PROFIT /(LOSS) c/f</t>
  </si>
  <si>
    <t xml:space="preserve">   Retained By :</t>
  </si>
  <si>
    <t xml:space="preserve">                              THE COMPANY</t>
  </si>
  <si>
    <t xml:space="preserve">                              SUBSIDIARIES</t>
  </si>
  <si>
    <t xml:space="preserve">                              ASSOCIATED CO</t>
  </si>
  <si>
    <t>Exchange Rate</t>
  </si>
  <si>
    <t>M.I. Share of profit/(loss) for the year</t>
  </si>
  <si>
    <t>% Shareholding</t>
  </si>
  <si>
    <t xml:space="preserve">CONSOLIDATED GROUP PROFIT AND LOSS ACCOUNT </t>
  </si>
  <si>
    <t>Consolidation Adjustments</t>
  </si>
  <si>
    <t>Operating profit</t>
  </si>
  <si>
    <t>Dividends from subsidiaries</t>
  </si>
  <si>
    <t>Unrealised profit on closing stock</t>
  </si>
  <si>
    <t>A99</t>
  </si>
  <si>
    <t>Syarikat Kemajuan Sasa Sdn Bhd (on revaluation for 2000)</t>
  </si>
  <si>
    <t>Special audit fee</t>
  </si>
  <si>
    <t>Controlled transfer of fixed asset</t>
  </si>
  <si>
    <t>Total Group adjustment for Profit Before Tax</t>
  </si>
  <si>
    <t>Share in results of associated company</t>
  </si>
  <si>
    <t>Total Group adjustment for Share in results in Associated Cos'</t>
  </si>
  <si>
    <t>Taxation</t>
  </si>
  <si>
    <t>Total Group adjustment for Taxation</t>
  </si>
  <si>
    <t>Minority Interests</t>
  </si>
  <si>
    <t>Profit for the year</t>
  </si>
  <si>
    <t>Total Group adjustment for Minority Interest</t>
  </si>
  <si>
    <t>Extraordinary Item</t>
  </si>
  <si>
    <t>Total Group adjustment for Extraordinary Item</t>
  </si>
  <si>
    <t>Unappropriated Profit b/f</t>
  </si>
  <si>
    <t>Danau Kota Development S/B (pre-acq loss)</t>
  </si>
  <si>
    <t>Total Group adjustment for Unappropriated Profits</t>
  </si>
  <si>
    <t>Jan to Jun 2000</t>
  </si>
  <si>
    <t>12 mths to Jun 00</t>
  </si>
  <si>
    <t>AAB's share</t>
  </si>
  <si>
    <t>Exchange difference on consolidation of</t>
  </si>
  <si>
    <t>Total Group adjustment for Exchange difference</t>
  </si>
  <si>
    <t>Appropriation a/c</t>
  </si>
  <si>
    <t>Dividends paid by subsidiaries</t>
  </si>
  <si>
    <t>Total Group adjustment for Appropriation</t>
  </si>
  <si>
    <t>Danau Kota Development S/B (on acq.)</t>
  </si>
  <si>
    <t>D2</t>
  </si>
  <si>
    <t>Danau Kota Development S/B (change in tax rate 35% to 30%)</t>
  </si>
  <si>
    <t>Danau Kota Development S/B (amor. 1992 &amp; 1993)</t>
  </si>
  <si>
    <t>D3</t>
  </si>
  <si>
    <t>Danau Kota Development S/B (surplus on revaluation)</t>
  </si>
  <si>
    <t>D4</t>
  </si>
  <si>
    <t>Danau Kota Development S/B (amor. 1994)</t>
  </si>
  <si>
    <t>D5</t>
  </si>
  <si>
    <t>Danau Kota Development S/B (reversal of surplus 1994)</t>
  </si>
  <si>
    <t>Danau Kota Development S/B (Tax - reversal of surplus 1994)</t>
  </si>
  <si>
    <t xml:space="preserve">     Long Term Loans</t>
  </si>
  <si>
    <t>LONG TERM PROPERTY DEVELOPMENT EXP.</t>
  </si>
  <si>
    <t>Danau Kota Development S/B (amor. 1995)</t>
  </si>
  <si>
    <t>IEC</t>
  </si>
  <si>
    <t>Long Term Investment</t>
  </si>
  <si>
    <t>Property Dev. Exp</t>
  </si>
  <si>
    <t>Danau Kota Development S/B (reversal of surplus 1995)</t>
  </si>
  <si>
    <t>Danau Kota Development S/B (Tax - reversal of surplus 1995)</t>
  </si>
  <si>
    <t>D6</t>
  </si>
  <si>
    <t>Danau Kota Development S/B (amor. 1996)</t>
  </si>
  <si>
    <t>Danau Kota Development S/B (reversal of surplus 1996)</t>
  </si>
  <si>
    <t>Danau Kota Development S/B (Tax - reversal of surplus 1996)</t>
  </si>
  <si>
    <t>D7</t>
  </si>
  <si>
    <t>Danau Kota Development S/B (addn. reversal of surplus 1995)</t>
  </si>
  <si>
    <t>GROUP  PROFIT AND LOSS ACCOUNT (based on amended June 99 balances)</t>
  </si>
  <si>
    <t>Danau Kota Development S/B (Tax - addn. reversal of surplus 1995)</t>
  </si>
  <si>
    <t>D8</t>
  </si>
  <si>
    <t>Danau Kota Development S/B (amor. 1997)</t>
  </si>
  <si>
    <t>Danau Kota Development S/B (reversal of surplus 1997)</t>
  </si>
  <si>
    <t>Danau Kota Development S/B (Tax - reversal of surplus 1997)</t>
  </si>
  <si>
    <t>D9</t>
  </si>
  <si>
    <t>Broadland Construction S/B</t>
  </si>
  <si>
    <t>B1</t>
  </si>
  <si>
    <t>Broadland Construction S/B (on acq.)</t>
  </si>
  <si>
    <t>Broadland Construction S/B (Pre-acq loss)</t>
  </si>
  <si>
    <t>Danau Kota Development S/B (goodwill amor. 1992 &amp; 1993)</t>
  </si>
  <si>
    <t>Danau Kota Development S/B (goodwill amor. 1994)</t>
  </si>
  <si>
    <t>Danau Kota Development S/B (goodwill amor. 1995)</t>
  </si>
  <si>
    <t>Danau Kota Development S/B (goodwill amor. 1996)</t>
  </si>
  <si>
    <t>Danau Kota Development S/B (goodwill amor. 1997)</t>
  </si>
  <si>
    <t>B2</t>
  </si>
  <si>
    <t>Broadland Construction S/B (goodwill amor. 1994, 1995 &amp; 1996)</t>
  </si>
  <si>
    <t>Broadland Construction S/B (amor. 1994, 1995 &amp; 1996)</t>
  </si>
  <si>
    <t>Broadland Construction S/B (amor. 1997)</t>
  </si>
  <si>
    <t>B3</t>
  </si>
  <si>
    <t>Broadland Construction S/B (goodwill amor. 1997)</t>
  </si>
  <si>
    <t>BZ Enterprise S/B (MI share on pre-acq loss)</t>
  </si>
  <si>
    <t>A1</t>
  </si>
  <si>
    <t>BZ Enterprise S/B</t>
  </si>
  <si>
    <t>BZ Enterprise S/B (Pre-acq loss)</t>
  </si>
  <si>
    <t>BZ Enterprise S/B (goodwill amor. 1995 &amp; 1996)</t>
  </si>
  <si>
    <t>A2</t>
  </si>
  <si>
    <t>BZ Enterprise S/B (amor. 1995 &amp; 1996)</t>
  </si>
  <si>
    <t>BZ Enterprise S/B (on acq.)</t>
  </si>
  <si>
    <t>BZ Enterprise S/B (MI share for 1995)</t>
  </si>
  <si>
    <t>BZ Enterprise S/B (MI share for 1996)</t>
  </si>
  <si>
    <t>A3</t>
  </si>
  <si>
    <t>A4</t>
  </si>
  <si>
    <t>Profound Schemes S/B</t>
  </si>
  <si>
    <t>Total Excellence S/B</t>
  </si>
  <si>
    <t>Profound Way S/B</t>
  </si>
  <si>
    <t>Austral Amal Properties Management S/B</t>
  </si>
  <si>
    <t>Likas View Sdn Bhd (Provision for Doubtful Debt Jun 1998)</t>
  </si>
  <si>
    <t>Likas View Sdn Bhd (Pre-operating written off Jun 1998)</t>
  </si>
  <si>
    <t>Austral Amal Properties S/B</t>
  </si>
  <si>
    <t>Austral Amal Trading S/B</t>
  </si>
  <si>
    <t>Duta Kota S/B</t>
  </si>
  <si>
    <t>Profound Continental S/B</t>
  </si>
  <si>
    <t>Ratus Bistari S/B</t>
  </si>
  <si>
    <t>Kazamas Corporation S/B</t>
  </si>
  <si>
    <t>A5</t>
  </si>
  <si>
    <t>A6</t>
  </si>
  <si>
    <t>A7</t>
  </si>
  <si>
    <t>Mandarin Tours &amp; Travel S/B</t>
  </si>
  <si>
    <t>Mandarin Tours &amp; Travel S/B (MI share for 1995 &amp; 1996)</t>
  </si>
  <si>
    <t>Mandarin Tours &amp; Travel S/B (MI share for 1997)</t>
  </si>
  <si>
    <t>A8</t>
  </si>
  <si>
    <t>Likas View Sdn Bhd</t>
  </si>
  <si>
    <t>A9</t>
  </si>
  <si>
    <t>Likas View Sdn Bhd (on acq.)</t>
  </si>
  <si>
    <t>Mandarin Tours &amp; Travel S/B (on acq.)</t>
  </si>
  <si>
    <t>Adjustment in previous year profit</t>
  </si>
  <si>
    <t>Great Demand Sdn Bhd</t>
  </si>
  <si>
    <t>A10</t>
  </si>
  <si>
    <t>Great Demand Sdn Bhd (on acq.)</t>
  </si>
  <si>
    <t>Great Demand Sdn Bhd (goodwill amor. 1996)</t>
  </si>
  <si>
    <t>A11</t>
  </si>
  <si>
    <t>A13</t>
  </si>
  <si>
    <t>Likas View Sdn Bhd (Inter-co elim. for interest charged)</t>
  </si>
  <si>
    <t>A12</t>
  </si>
  <si>
    <t>Syarikat Kemajuan Sasa Sdn Bhd</t>
  </si>
  <si>
    <t>Syarikat Kemajuan Sasa Sdn Bhd (on acq.)</t>
  </si>
  <si>
    <t>Syarikat Kemajuan Sasa Sdn Bhd (on acq. revaluation)</t>
  </si>
  <si>
    <t>Syarikat Kemajuan Sasa Sdn Bhd (Pre-acq loss)</t>
  </si>
  <si>
    <t>A14</t>
  </si>
  <si>
    <t>A15</t>
  </si>
  <si>
    <t>Mandarin Tours &amp; Travel S/B (MI share on revaluation for 1997)</t>
  </si>
  <si>
    <t>A16</t>
  </si>
  <si>
    <t>Austral Amalgamated Capital S/B</t>
  </si>
  <si>
    <t>Austral Amalgamated Overseas Ltd</t>
  </si>
  <si>
    <t>Austral Amalgamated International Ltd</t>
  </si>
  <si>
    <t>Austral Amalgamated Assets S/B</t>
  </si>
  <si>
    <t>Golden Forum S/B</t>
  </si>
  <si>
    <t>Malaya Cremics Industries S/B (A. Amal Prop. (PJ) S/B)</t>
  </si>
  <si>
    <t>Million Quest Equity S/B (Broadland Equity S/B)</t>
  </si>
  <si>
    <t>Million Quest (Myanmar) S/B (Broadland Amal. (Myanmar) S/B)</t>
  </si>
  <si>
    <t>Million Quest Capital S/B (Broadland Amal Capital S/B)</t>
  </si>
  <si>
    <t>A17</t>
  </si>
  <si>
    <t>Hanaku Insurance Brokers S/B</t>
  </si>
  <si>
    <t>A18</t>
  </si>
  <si>
    <t>Hanaku Insurance Brokers S/B (Pre-acq profits)</t>
  </si>
  <si>
    <t>Austral Amal Leasing S/B</t>
  </si>
  <si>
    <t>A19</t>
  </si>
  <si>
    <t>Iras prima S/B</t>
  </si>
  <si>
    <t>A20</t>
  </si>
  <si>
    <t>Iras Prima S/B (on acq.)</t>
  </si>
  <si>
    <t>Iras Prima S/B (Pre-acq loss)</t>
  </si>
  <si>
    <t>Iras Prima S/B</t>
  </si>
  <si>
    <t>Profound View S/B</t>
  </si>
  <si>
    <t>A21</t>
  </si>
  <si>
    <t>Profound View S/B (Pre-acq profit)</t>
  </si>
  <si>
    <t>Austral Amal Leasing S/B (Pre-acq profit)</t>
  </si>
  <si>
    <t>Mandarin Tours &amp; Travel S/B (Pre-acq profit)</t>
  </si>
  <si>
    <t>Profound View S/B (on acq.)</t>
  </si>
  <si>
    <t>Mandarin Tours &amp; Travel S/B (MI share on Pre-acq profit)</t>
  </si>
  <si>
    <t>changed due to audit adjustments</t>
  </si>
  <si>
    <t>Profound View S/B (MI share in Pre-acq profit)</t>
  </si>
  <si>
    <t>A22</t>
  </si>
  <si>
    <t>Profound View S/B (MI share for 1997)</t>
  </si>
  <si>
    <t>Astrogold S/B</t>
  </si>
  <si>
    <t>A23</t>
  </si>
  <si>
    <t>Astrogold S/B (on acq.)</t>
  </si>
  <si>
    <t>Astrogold S/B (Pre-acq. loss)</t>
  </si>
  <si>
    <t>A24</t>
  </si>
  <si>
    <t>A25</t>
  </si>
  <si>
    <t>Share Capital</t>
  </si>
  <si>
    <t>tax</t>
  </si>
  <si>
    <t>dep</t>
  </si>
  <si>
    <t>int</t>
  </si>
  <si>
    <t>mi</t>
  </si>
  <si>
    <t>NTA</t>
  </si>
  <si>
    <t>1/2 YE 30.06.99</t>
  </si>
  <si>
    <t>1 Q YE 30.06.99</t>
  </si>
  <si>
    <t>RM'000</t>
  </si>
  <si>
    <t>NTA/share</t>
  </si>
  <si>
    <t>Mandarin Tours &amp; Travel S/B (on revaluation for 1997)</t>
  </si>
  <si>
    <t>International Equities Corporation Ltd (share premium on acq.)</t>
  </si>
  <si>
    <t>International Equities Corporation Ltd (share option reserve on acq.)</t>
  </si>
  <si>
    <t xml:space="preserve">-drop in turnover - drop in occupancy &amp; rental rates, no further project development </t>
  </si>
  <si>
    <t>Reserve on acq.</t>
  </si>
  <si>
    <t>International Equities Corporation Ltd (on acq.)</t>
  </si>
  <si>
    <t>International Equities Corporation Ltd (Pre-acq loss)</t>
  </si>
  <si>
    <t>MI share</t>
  </si>
  <si>
    <t>A26</t>
  </si>
  <si>
    <t>Deferred Expenditure</t>
  </si>
  <si>
    <t>Total Group adjustment for Deferred Expenditure</t>
  </si>
  <si>
    <t>City Finance Bhd</t>
  </si>
  <si>
    <t>A27</t>
  </si>
  <si>
    <t xml:space="preserve"> Share of results in associated company</t>
  </si>
  <si>
    <t>City Finance Bhd (provision for taxation)</t>
  </si>
  <si>
    <t>City Finance Bhd (profits before tax)</t>
  </si>
  <si>
    <t>City Finance Bhd (on disposal)</t>
  </si>
  <si>
    <t>A28</t>
  </si>
  <si>
    <t>City Finance Bhd (profit before tax on disposal)</t>
  </si>
  <si>
    <t>A29</t>
  </si>
  <si>
    <t>Broadland Amalgamated S/B</t>
  </si>
  <si>
    <t>Broadland Amalgamated S/B (Pre-acq loss)</t>
  </si>
  <si>
    <t>A30</t>
  </si>
  <si>
    <t>Exquisite Properties S/B</t>
  </si>
  <si>
    <t>Likas View S/B (Inter-co elim. for interest charged)</t>
  </si>
  <si>
    <t>Exquisite Properties S/B (on acq.)</t>
  </si>
  <si>
    <t>Interest accrued</t>
  </si>
  <si>
    <t>Interest Accrued</t>
  </si>
  <si>
    <t>IEC LTD accounts</t>
  </si>
  <si>
    <t>Eminent Equity S/B</t>
  </si>
  <si>
    <t>Malex Bhd (part disposal of investment)</t>
  </si>
  <si>
    <t>A31</t>
  </si>
  <si>
    <t>Write back</t>
  </si>
  <si>
    <t>A32</t>
  </si>
  <si>
    <t>Deferred Expenditure Write Back</t>
  </si>
  <si>
    <t>City Finance Bhd (post acq profits)</t>
  </si>
  <si>
    <t>A33</t>
  </si>
  <si>
    <t>A34</t>
  </si>
  <si>
    <t>Hanaku Insurance Brokers S/B (payment of dividends)</t>
  </si>
  <si>
    <t>Hanaku Insurance Brokers S/B (tax on payment of dividends)</t>
  </si>
  <si>
    <t>BZ Enterprise S/B (goodwill amor. 1997)</t>
  </si>
  <si>
    <t>A35</t>
  </si>
  <si>
    <t>Great Demand Sdn Bhd (goodwill amor. 1997)</t>
  </si>
  <si>
    <t>A36</t>
  </si>
  <si>
    <t>Iras Prima S/B (goodwill amor. 1997)</t>
  </si>
  <si>
    <t>A37</t>
  </si>
  <si>
    <t>IEC Ltd (goodwill amor. 1997)</t>
  </si>
  <si>
    <t>A38</t>
  </si>
  <si>
    <t>BZ Enterprise S/B (amor. 1997)</t>
  </si>
  <si>
    <t>There were no pre-acquisition profits for the half year ended.</t>
  </si>
  <si>
    <t>Great Demand Sdn Bhd (amor. 1996)</t>
  </si>
  <si>
    <t>Great Demand Sdn Bhd (amor. 1997)</t>
  </si>
  <si>
    <t>Amal Capital</t>
  </si>
  <si>
    <t xml:space="preserve">Profound Schemes Sdn Bhd </t>
  </si>
  <si>
    <t>A69</t>
  </si>
  <si>
    <t>A70</t>
  </si>
  <si>
    <t>Iras Prima S/B (amor. 1997)</t>
  </si>
  <si>
    <t>International Equities Corporation Ltd (amor. 1997)</t>
  </si>
  <si>
    <t>Broadland Amalgamated S/B (goodwill amor. 1997)</t>
  </si>
  <si>
    <t>A39</t>
  </si>
  <si>
    <t>Exquisite Properties S/B (goodwill amor. 1997)</t>
  </si>
  <si>
    <t>A40</t>
  </si>
  <si>
    <t>A82</t>
  </si>
  <si>
    <t xml:space="preserve">(Being adjustment for writeback of provision for interco.bt AAC &amp; Austral Leasing S/B </t>
  </si>
  <si>
    <t xml:space="preserve"> not adjusted in June 1999)</t>
  </si>
  <si>
    <t>As at 30th September  2000</t>
  </si>
  <si>
    <t>For the Period from 1st July 1999 to  30th September 2000</t>
  </si>
  <si>
    <t>SCHEDULES TO  THE PROFIT AND LOSS ACCOUNTS</t>
  </si>
  <si>
    <t>INCOME</t>
  </si>
  <si>
    <t>Bad Debts Recovered</t>
  </si>
  <si>
    <t>Cash Discounts Received</t>
  </si>
  <si>
    <t>Dividend Received</t>
  </si>
  <si>
    <t>Gain/(Loss) On Disposal Of Fixed Assets</t>
  </si>
  <si>
    <t>Gain/(Loss) On Foreign Exchange</t>
  </si>
  <si>
    <t>Interest Received</t>
  </si>
  <si>
    <t>Management Fee/Admin Charges</t>
  </si>
  <si>
    <t>Rental Received</t>
  </si>
  <si>
    <t>Sundry Income</t>
  </si>
  <si>
    <t>EXPENSES</t>
  </si>
  <si>
    <t>Salaries</t>
  </si>
  <si>
    <t>General &amp; Administrative</t>
  </si>
  <si>
    <t>Finance Charges</t>
  </si>
  <si>
    <t>Bad &amp; Doubtful Debts</t>
  </si>
  <si>
    <t>Astrogold S/B (goodwill amor. 1997)</t>
  </si>
  <si>
    <t>A41</t>
  </si>
  <si>
    <t>Hanaku Insurance Brokers S/B (goodwill amor. 1997)</t>
  </si>
  <si>
    <t>A42</t>
  </si>
  <si>
    <t>Broadland Amalgamated S/B (amor. 1997)</t>
  </si>
  <si>
    <t>Broadland Amalgamated S/B (on acq.)</t>
  </si>
  <si>
    <t>Exquisite Properties S/B (amor. 1997)</t>
  </si>
  <si>
    <t>Astrogold S/B (amor. 1997)</t>
  </si>
  <si>
    <t>Hanaku Insurance Brokers S/B (amor. 1997)</t>
  </si>
  <si>
    <t>Consol B/S vs Consol P/L unappropriated profits b/f</t>
  </si>
  <si>
    <t>Investment &amp; Other Income</t>
  </si>
  <si>
    <t>LEASE &amp; HP RECEIVABLES</t>
  </si>
  <si>
    <t>Dormant Co 2</t>
  </si>
  <si>
    <t>Dormant Co 1</t>
  </si>
  <si>
    <t xml:space="preserve"> Other debtors</t>
  </si>
  <si>
    <t>HOLDING Co</t>
  </si>
  <si>
    <t>AAB</t>
  </si>
  <si>
    <t xml:space="preserve">     Share Capital</t>
  </si>
  <si>
    <t xml:space="preserve">     Reserve on Exchange Fluctuation</t>
  </si>
  <si>
    <t xml:space="preserve">     Capital Reserve/Change in Group</t>
  </si>
  <si>
    <t xml:space="preserve">     Reserve on Consolidation</t>
  </si>
  <si>
    <t xml:space="preserve">     Revenue Reserve</t>
  </si>
  <si>
    <t xml:space="preserve">     Property Development Expenditure</t>
  </si>
  <si>
    <t xml:space="preserve">     Stocks</t>
  </si>
  <si>
    <t xml:space="preserve">     Trade debtors</t>
  </si>
  <si>
    <t xml:space="preserve">     Other debtors &amp; prepayments</t>
  </si>
  <si>
    <t xml:space="preserve">     Amount owing by holding company</t>
  </si>
  <si>
    <t xml:space="preserve">     Amount owing by subsidiary companies</t>
  </si>
  <si>
    <t xml:space="preserve">     Amount owing by related companies</t>
  </si>
  <si>
    <t xml:space="preserve">     Amount owing by associated companies</t>
  </si>
  <si>
    <t xml:space="preserve">     Fixed deposit</t>
  </si>
  <si>
    <t>(AUD)</t>
  </si>
  <si>
    <t>RATE</t>
  </si>
  <si>
    <t>(RM)</t>
  </si>
  <si>
    <t xml:space="preserve">     Cash &amp; bank balances</t>
  </si>
  <si>
    <t xml:space="preserve">     Deferred Taxation</t>
  </si>
  <si>
    <t xml:space="preserve">     Advances from Related parties</t>
  </si>
  <si>
    <t xml:space="preserve">     Progress payments on uncompleted contracts</t>
  </si>
  <si>
    <t xml:space="preserve">        Less:</t>
  </si>
  <si>
    <t xml:space="preserve">     Contract work-in-progress</t>
  </si>
  <si>
    <t xml:space="preserve">     Trade creditors</t>
  </si>
  <si>
    <t xml:space="preserve">     Other creditors &amp; accruals</t>
  </si>
  <si>
    <t xml:space="preserve">     Term Loans</t>
  </si>
  <si>
    <t xml:space="preserve">     Hire purchase &amp; Lease Creditors</t>
  </si>
  <si>
    <t xml:space="preserve">     EXCEPTIONAL ITEM</t>
  </si>
  <si>
    <t xml:space="preserve">     Amount owing to holding company</t>
  </si>
  <si>
    <t>6 months from 13th April 2000.</t>
  </si>
  <si>
    <t xml:space="preserve">On 9th September 1999, Danaharta appointed Special Administrators over the company.  On 6th July 2000, Danaharta </t>
  </si>
  <si>
    <t xml:space="preserve">During this period of restructuring, the company continued with its normal operations. </t>
  </si>
  <si>
    <t>These activities generated only sufficient cashflows to maintain low level operations.</t>
  </si>
  <si>
    <t xml:space="preserve">The Workout Proposal for the restructuring scheme of the Company has been approved by Danaharta and the secured lenders on </t>
  </si>
  <si>
    <t xml:space="preserve">10 October, 2000 and 27 October, 2000 respectively.  Presently, the Special Administrators are working closely with the advising </t>
  </si>
  <si>
    <t>merchant banker, Amanah Merchant Bank Berhad and the white knights to complete the Proposal for submission to the Securities</t>
  </si>
  <si>
    <t>Commission.  Barring any unforeseen circumstances, the Securities Commission submission is expected to be made by the</t>
  </si>
  <si>
    <t>end of December, 2000.</t>
  </si>
  <si>
    <t>(unaudited)</t>
  </si>
  <si>
    <t>Net tangible asset per ordinary share (RM)</t>
  </si>
  <si>
    <t>There was no extraordinary item for the first quarter and the financial year ended 30th June 2000.</t>
  </si>
  <si>
    <t>There was no purchase or disposal of quoted securities during the year to date.</t>
  </si>
  <si>
    <t xml:space="preserve">All litigation has been held in abeyance in view of the appointment of Special Administrators for the holding </t>
  </si>
  <si>
    <t>company and three subsidiaries.</t>
  </si>
  <si>
    <t xml:space="preserve">     Amount owing to subsidiary companies</t>
  </si>
  <si>
    <t xml:space="preserve">     Amount owing to related companies</t>
  </si>
  <si>
    <t xml:space="preserve">     Amount owing to associated companies</t>
  </si>
  <si>
    <t xml:space="preserve">     Bills payable</t>
  </si>
  <si>
    <t xml:space="preserve">     Taxation</t>
  </si>
  <si>
    <t xml:space="preserve">     Bank overdrafts</t>
  </si>
  <si>
    <t xml:space="preserve">     Dividend payable (net)</t>
  </si>
  <si>
    <t xml:space="preserve">     Add/(Less):</t>
  </si>
  <si>
    <t xml:space="preserve">     PRIOR YEAR CONSOLIDATION DIFFERENCE</t>
  </si>
  <si>
    <t xml:space="preserve">     SHARE IN RESULTS OF AN ASSOCIATED COMPANY</t>
  </si>
  <si>
    <t xml:space="preserve">     Less : TAXATION</t>
  </si>
  <si>
    <t xml:space="preserve">     Less : MINORITY INTERESTS</t>
  </si>
  <si>
    <t xml:space="preserve">     Add  :</t>
  </si>
  <si>
    <t xml:space="preserve">     EXTRAORDINARY ITEM</t>
  </si>
  <si>
    <t>(RM'000)</t>
  </si>
  <si>
    <t>dividends, if any (sen) :</t>
  </si>
  <si>
    <t xml:space="preserve">Net tangible asset backing per ordinary </t>
  </si>
  <si>
    <t>share (RM)</t>
  </si>
  <si>
    <t xml:space="preserve">(Being adjustment for dilution over the change of control over International Equities </t>
  </si>
  <si>
    <t xml:space="preserve">  Corporation Ltd.)</t>
  </si>
  <si>
    <t>There were no profits derived from the sale of investments and investment properties.</t>
  </si>
  <si>
    <t xml:space="preserve">Austral Amalgamated Bhd - Likas View Sdn Bhd </t>
  </si>
  <si>
    <t>IEC Ltd (Dilution of shareholdings - 1999)</t>
  </si>
  <si>
    <t>Segmental Reporting</t>
  </si>
  <si>
    <t>Profit b4 tax</t>
  </si>
  <si>
    <t>Profit/(Loss) before taxation,</t>
  </si>
  <si>
    <t>minority interests</t>
  </si>
  <si>
    <t>Hanaku Insurance Brokers S/B (reversal of prov dim in val of inv)</t>
  </si>
  <si>
    <t>of consolidation as compared with those used in the preparation of the most recent annual financial statements.</t>
  </si>
  <si>
    <t>Accounting Policies</t>
  </si>
  <si>
    <t>Current Year</t>
  </si>
  <si>
    <t>Quarter</t>
  </si>
  <si>
    <t>Cumulated Quarter</t>
  </si>
  <si>
    <t>Current Year to date</t>
  </si>
  <si>
    <t>Extraordinary Items</t>
  </si>
  <si>
    <t>Current Taxation</t>
  </si>
  <si>
    <t>Under/(over) provision in prior year</t>
  </si>
  <si>
    <t>Changes in the Composition of the Group</t>
  </si>
  <si>
    <t>Status of Corporate Proposals</t>
  </si>
  <si>
    <t>Seasonal or Cyclical Factors</t>
  </si>
  <si>
    <t>There was no significant seasonal or cycles factors affecting operations of our group .</t>
  </si>
  <si>
    <t>Corporate Developments</t>
  </si>
  <si>
    <t>There were no issuance or repayment of debt and equity securities, share buybacks, share cancellations, shares held as treasury</t>
  </si>
  <si>
    <t>Group borrowings</t>
  </si>
  <si>
    <t>All the group borrowings are denominated in Ringgit Malaysia.</t>
  </si>
  <si>
    <t>The group borrowings included Hire Purchase and Leasing</t>
  </si>
  <si>
    <t xml:space="preserve">Contingent Liabilities </t>
  </si>
  <si>
    <t>JUNE 2000 ADJUSTMENTS</t>
  </si>
  <si>
    <t>Financial Instruments with Off Balance Sheet Risk</t>
  </si>
  <si>
    <t>There are no financial instruments with off balance sheet risk as at the date of issue of this announcement.</t>
  </si>
  <si>
    <t>Pending material litigation</t>
  </si>
  <si>
    <t>Segmental information</t>
  </si>
  <si>
    <t>Variance on Forecast Profit</t>
  </si>
  <si>
    <t>Term Loan</t>
  </si>
  <si>
    <t>NIL</t>
  </si>
  <si>
    <t>Unsecured borrowings</t>
  </si>
  <si>
    <t>DKD - BBMB</t>
  </si>
  <si>
    <t>BZ Enterprise</t>
  </si>
  <si>
    <t xml:space="preserve">          Ban Hin Lee</t>
  </si>
  <si>
    <t xml:space="preserve">          OCBC</t>
  </si>
  <si>
    <t>AAB ' MBB</t>
  </si>
  <si>
    <t>AAB's BSNMB</t>
  </si>
  <si>
    <t>AAB's Phileo</t>
  </si>
  <si>
    <t>All contingent liabilities have crystallised since having obtained the Restraining Order.  All liabilities are no longer contingent.</t>
  </si>
  <si>
    <t>In respect of the losses, the company continued to incur these losses from interest charged on outstanding loans other than normal</t>
  </si>
  <si>
    <t>operating overheads.</t>
  </si>
  <si>
    <t>The profit forecast are presently under review of the Special Administrator in line with their efforts to restructure the Group.</t>
  </si>
  <si>
    <t>Dividend</t>
  </si>
  <si>
    <t>The Company has deferred an announcement on dividends pending the completion of the restructuring exercise.</t>
  </si>
  <si>
    <t>UNAUDITED CONSOLIDATED BALANCE SHEET</t>
  </si>
  <si>
    <t>UNAUDITED CONSOLIDATED INCOME STATEMENT</t>
  </si>
  <si>
    <t xml:space="preserve">Presently, the Special Administrators are conducting a review of the Group's activities with the intention of restructuring </t>
  </si>
  <si>
    <t xml:space="preserve"> - Broadland Construction</t>
  </si>
  <si>
    <t xml:space="preserve">PBT - Exceptional Item </t>
  </si>
  <si>
    <t>Austral Amal Trading S/B level)</t>
  </si>
  <si>
    <t>Austral Amal Trading - Prov for inerco</t>
  </si>
  <si>
    <t>Amount owing by subsidiary</t>
  </si>
  <si>
    <t>(Being consolidation adjustment for provision on subsidiaries at Broadland</t>
  </si>
  <si>
    <t>Construction S/B level)</t>
  </si>
  <si>
    <t xml:space="preserve">Broadland Construction S/B - prov. for interco. </t>
  </si>
  <si>
    <t xml:space="preserve"> - Austral Amal Properties (P.J.) Sdn Bhd</t>
  </si>
  <si>
    <t xml:space="preserve"> - Austral Amal Properties Sdn Bhd</t>
  </si>
  <si>
    <t xml:space="preserve"> - Austral Amalgamated Capital Sdn Bhd</t>
  </si>
  <si>
    <t>Austral Amal Properties S/B (prov. For diminution)</t>
  </si>
  <si>
    <t>Check total</t>
  </si>
  <si>
    <t xml:space="preserve"> - Syarikat Kemajuan Sasa</t>
  </si>
  <si>
    <t>A95,A96</t>
  </si>
  <si>
    <t>A97</t>
  </si>
  <si>
    <t>A98</t>
  </si>
  <si>
    <t># &amp; A61,A61a,A63,A65,A69,Y9,A81,A84,A85,A86,A91,A92,A95,A96</t>
  </si>
  <si>
    <t>the Group.  The Company will endevour to keep the Kuala Lumpur Stock Exchange notified for further developments.</t>
  </si>
  <si>
    <t xml:space="preserve">     EXCHANGE DIFFERENCE ON CONSOLIDATION</t>
  </si>
  <si>
    <t xml:space="preserve">     Less :  APPROPRIATION</t>
  </si>
  <si>
    <t xml:space="preserve">                 CAPITALISATION FOR BONUS ISSUE</t>
  </si>
  <si>
    <t xml:space="preserve">                 LISTING EXPENSES</t>
  </si>
  <si>
    <t>#$</t>
  </si>
  <si>
    <t>Formula for minority interest</t>
  </si>
  <si>
    <t>Inter-company elimination</t>
  </si>
  <si>
    <t>Balancing adjustment</t>
  </si>
  <si>
    <t>Other adjustment</t>
  </si>
  <si>
    <t>@ &amp; A61</t>
  </si>
  <si>
    <t>!**</t>
  </si>
  <si>
    <t xml:space="preserve">                 DIVIDENDS</t>
  </si>
  <si>
    <t xml:space="preserve">                 SUB-TOTAL</t>
  </si>
  <si>
    <t>Appendix 1</t>
  </si>
  <si>
    <t>Appendix 2</t>
  </si>
  <si>
    <t>Malaya Ceramics Industries S/B (A. Amal Prop. (PJ) S/B)</t>
  </si>
  <si>
    <t>IEC Ltd (classified as intangibles in books on acq.)</t>
  </si>
  <si>
    <t>Danau Kota Development S/B (reversal of surplus 1998)</t>
  </si>
  <si>
    <t>Danau Kota Development S/B (addition 1998)</t>
  </si>
  <si>
    <t>Danau Kota Development S/B (amor. 1998)</t>
  </si>
  <si>
    <t>Danau Kota Development S/B (additional amor. 1998)</t>
  </si>
  <si>
    <t>Broadland Construction S/B (additional)</t>
  </si>
  <si>
    <t>Broadland Construction S/B (amor. 1998)</t>
  </si>
  <si>
    <t>Austral Amalgamated Hotel Management S/B</t>
  </si>
  <si>
    <t>Austral Amalgamated Hotel &amp; Resorts S/B</t>
  </si>
  <si>
    <t>Austral Venture</t>
  </si>
  <si>
    <t>Broadland Amalgamated S/B (rev 1998)</t>
  </si>
  <si>
    <t>Loss on disposal of Investment</t>
  </si>
  <si>
    <t>Hanaku Insurance - Profit not taken up at consol level in June 1998.</t>
  </si>
  <si>
    <t>Danau Kota Development S/B - casting error in 6/98</t>
  </si>
  <si>
    <t>Broadland Construction S/B - casting error in 6/98</t>
  </si>
  <si>
    <t>A65</t>
  </si>
  <si>
    <t>A66</t>
  </si>
  <si>
    <t>Yearly Adjustment - Non Permnent / Moving Journals</t>
  </si>
  <si>
    <t>A67</t>
  </si>
  <si>
    <t>(Being Hanaku Insurance S/B's profit not taken up at consol level in June '98)</t>
  </si>
  <si>
    <t>A68</t>
  </si>
  <si>
    <t xml:space="preserve">Share Capital </t>
  </si>
  <si>
    <t>Malaya Ceramics Industries (Austral Amal Properties (PJ) A/B)</t>
  </si>
  <si>
    <t>Dr</t>
  </si>
  <si>
    <t>Cr</t>
  </si>
  <si>
    <t>Bal</t>
  </si>
  <si>
    <t>International Equities Corporation Ltd (MI Share for 1999)</t>
  </si>
  <si>
    <t>International Equities Corporation Ltd (reinstate opening)</t>
  </si>
  <si>
    <t>A87</t>
  </si>
  <si>
    <t>A86</t>
  </si>
  <si>
    <t>Austral Leasing S/B (prov. for diminution)</t>
  </si>
  <si>
    <t>A91</t>
  </si>
  <si>
    <t/>
  </si>
  <si>
    <t>International Equities Corporation Ltd (upon acq)</t>
  </si>
  <si>
    <t>Malaya Cremics Industries S/B (A. Amal Prop. (PJ) S/B)(prov. Dimn)</t>
  </si>
  <si>
    <t>Syarikat Kemajuan Sasa Sdn Bhd (Prov. For dim. In value of investments)</t>
  </si>
  <si>
    <t>A92</t>
  </si>
  <si>
    <t>Cost of investm</t>
  </si>
  <si>
    <t>Carrying value</t>
  </si>
  <si>
    <t>at co level</t>
  </si>
  <si>
    <t>at group level</t>
  </si>
  <si>
    <t>IEC Ltd (reversal of provision made at co level)</t>
  </si>
  <si>
    <t>IEC Ltd (to reinstate post-acq loss)</t>
  </si>
  <si>
    <t>IEC Ltd (to reinstate exchange equalisation reserves)</t>
  </si>
  <si>
    <t>IEC Ltd (loss on deemed disposal)</t>
  </si>
  <si>
    <t>A88</t>
  </si>
  <si>
    <t>IEC Ltd (consol of 1999's result)</t>
  </si>
  <si>
    <t>A89</t>
  </si>
  <si>
    <t>A94</t>
  </si>
  <si>
    <t>A95</t>
  </si>
  <si>
    <t>Total Group Adjustment for Other Investments</t>
  </si>
  <si>
    <t>IEC - Loss on deemed disposal</t>
  </si>
  <si>
    <t>IEC - consol of 1999's result</t>
  </si>
  <si>
    <t>AA Capital - Dividend income from Hanaku</t>
  </si>
  <si>
    <t>Y1a</t>
  </si>
  <si>
    <t>Provision for profit guarantee</t>
  </si>
  <si>
    <t>Broadland Construction S/B - Provision for related co. balance</t>
  </si>
  <si>
    <t>June 99 Adjustments:-</t>
  </si>
  <si>
    <t>Iras Prima's Book</t>
  </si>
  <si>
    <t>IEC - Deferred exp written off upon deconsolidation</t>
  </si>
  <si>
    <t>IEC - Reversal of goodwill written off upon deconsolidation</t>
  </si>
  <si>
    <t>Austral Amalgamated Bhd - Prov for diminution in value of investments</t>
  </si>
  <si>
    <t>Austral Amalgamated Bhd - Prov for interco balances</t>
  </si>
  <si>
    <t>Likas View S/B - Prov for diminution in value of investment in subsid</t>
  </si>
  <si>
    <t>A93</t>
  </si>
  <si>
    <t>A96</t>
  </si>
  <si>
    <t>Danau Kota's Book</t>
  </si>
  <si>
    <t>Goodwill written off</t>
  </si>
  <si>
    <t>Austral Amalgamated Bhd - Prov for diminution in value of IEC</t>
  </si>
  <si>
    <t>provision for profit guarantee</t>
  </si>
  <si>
    <t>AA Capital - Dividends from Hanaku</t>
  </si>
  <si>
    <t>Danau Kota Development S/B (amortisation of PDE 1999)</t>
  </si>
  <si>
    <t>City Finance - Tax from Asso co</t>
  </si>
  <si>
    <t>BZ Enterprise/Mandarin Tours &amp; Travel/ Profound View</t>
  </si>
  <si>
    <t>Amortisation of Goodwill (Exceptional Item)</t>
  </si>
  <si>
    <t>Likas View Sdn Bhd (Provision in Great Demand 1998)</t>
  </si>
  <si>
    <t>A85</t>
  </si>
  <si>
    <t>IEC Ltd (reinstate opening reserves)</t>
  </si>
  <si>
    <t>reclassified to Exceptional Item</t>
  </si>
  <si>
    <t>Likas Square</t>
  </si>
  <si>
    <t>Merger Reserve</t>
  </si>
  <si>
    <t>Reserve on Consolidation Reserve</t>
  </si>
  <si>
    <t>Revaluation Surplus Reserve</t>
  </si>
  <si>
    <t>30.06.00</t>
  </si>
  <si>
    <t>Pasar Ria</t>
  </si>
  <si>
    <t>(EXTRACTED FROM 31.3.00 ANNOUNCEMENT,</t>
  </si>
  <si>
    <t>REFER TO FILE: AAB Consol 03.2000)</t>
  </si>
  <si>
    <t>IEC Ltd</t>
  </si>
  <si>
    <t>BZ Enterprise S/B (amor. 1998)</t>
  </si>
  <si>
    <t>Great Demand Sdn Bhd (amor. 1998)</t>
  </si>
  <si>
    <t>Hanaku Insurance Brokers S/B (amor. 1998)</t>
  </si>
  <si>
    <t>Iras Prima S/B (amor. 1998)</t>
  </si>
  <si>
    <t>Astrogold S/B (amor. 1998)</t>
  </si>
  <si>
    <t>International Equities Corporation Ltd (amor. 1998)</t>
  </si>
  <si>
    <t>Exquisite Properties S/B (amor. 1998)</t>
  </si>
  <si>
    <t>City Finance Bhd (post acq loss 1998)</t>
  </si>
  <si>
    <t>BZ Enterprise Sdn Bhd</t>
  </si>
  <si>
    <t>Mandarin Tours &amp; Travel Sdn Bhd</t>
  </si>
  <si>
    <t>Profound View Sdn Bhd</t>
  </si>
  <si>
    <t>International Equities Corporation Ltd (Equilisation Reserve)</t>
  </si>
  <si>
    <t>Hanaku Insurance Sdn Bhd</t>
  </si>
  <si>
    <t>Provision for loss on guarantee of of subsidiaries</t>
  </si>
  <si>
    <t>Inter Company provisions</t>
  </si>
  <si>
    <t xml:space="preserve">(Being additional goodwill arising from additional cost of MCI on amount payable to vendor </t>
  </si>
  <si>
    <t>on CSA Option not exercised).</t>
  </si>
  <si>
    <t>Reserve Written Off</t>
  </si>
  <si>
    <t>Casting error</t>
  </si>
  <si>
    <t>Danau Kota ( Goodwill calculation167640-167410)</t>
  </si>
  <si>
    <t>Broadland Amalgamated Bhd (Goodwill 37279-37259)</t>
  </si>
  <si>
    <t>Austral Amalgamated Bhd</t>
  </si>
  <si>
    <t>Consolidation Journals</t>
  </si>
  <si>
    <t>Standing Journals / Permanent Adjustments</t>
  </si>
  <si>
    <t>As announced on 27th October 2000, the Company proposes to undertake a composite restructuring execise which includes the</t>
  </si>
  <si>
    <t>following:-</t>
  </si>
  <si>
    <t>Proposed Capital Reduction and Consolidation</t>
  </si>
  <si>
    <t>Proposed Share Exchange</t>
  </si>
  <si>
    <t>Proposed Rights Issue with Warrants</t>
  </si>
  <si>
    <t>Proposed Injections of Companies</t>
  </si>
  <si>
    <t xml:space="preserve">Proposed Restricted Issue </t>
  </si>
  <si>
    <t>Proposed Creditors Scheme</t>
  </si>
  <si>
    <t>Proposed Listing of Furqan Business Organisation Berhad ("FBO")</t>
  </si>
  <si>
    <t>Proposed Waiver</t>
  </si>
  <si>
    <t>(Collectively referred to as "Proposals")</t>
  </si>
  <si>
    <t xml:space="preserve">The Proposals have been approved by Pengurusan Danaharta Nasional Berhad on 10 October 2000 and Secured Creditors </t>
  </si>
  <si>
    <t>on 27 October 2000 (Please refer to the announcement (Reference No: MM-001025-65040) on 27 October 2000 for further  details).</t>
  </si>
  <si>
    <t>Debit</t>
  </si>
  <si>
    <t>Credit</t>
  </si>
  <si>
    <t>For Danau Kota Development Sdn Bhd</t>
  </si>
  <si>
    <t>Project Development Expanditure</t>
  </si>
  <si>
    <t>Pre-acquisition Loss</t>
  </si>
  <si>
    <t>Deferred Tax</t>
  </si>
  <si>
    <t>Investment in Subsidiaries</t>
  </si>
  <si>
    <t>(Being consolidation adjustment for cost of investment on acquisition of Danau Kota</t>
  </si>
  <si>
    <t xml:space="preserve"> Development Sdn Bhd)</t>
  </si>
  <si>
    <t>Goodwill</t>
  </si>
  <si>
    <t>(Being consolidation adjustment for goodwill on changes of tax rate from 35 % to 30%)</t>
  </si>
  <si>
    <t>Unappropriated profit b/f</t>
  </si>
  <si>
    <t>(Being consolidation adjustment for amortisation of goodwill for YE 1992 &amp; 1993</t>
  </si>
  <si>
    <t xml:space="preserve"> adjustment by pervious auditors Desa Megat &amp; Co)</t>
  </si>
  <si>
    <t>Property Development Expenditure</t>
  </si>
  <si>
    <t>(Being consolidation adjustment to reverse surplus arising on revaluation of Project</t>
  </si>
  <si>
    <t xml:space="preserve"> Development Expenditure and the tax effect for YE 1992 &amp; 1993)</t>
  </si>
  <si>
    <t>Adjustment to Stocks written off</t>
  </si>
  <si>
    <t>Stocks</t>
  </si>
  <si>
    <t>Investment in Associated Co. - City Finance Bhd</t>
  </si>
  <si>
    <t>Investment in Associated Co. - IEC</t>
  </si>
  <si>
    <t>A83</t>
  </si>
  <si>
    <t>A84</t>
  </si>
  <si>
    <t>Amortisation of Goodwill - P/L</t>
  </si>
  <si>
    <t>Attributable profit - P/L</t>
  </si>
  <si>
    <t>Deferred Taxation - B/S</t>
  </si>
  <si>
    <t>Goodwill - B/S</t>
  </si>
  <si>
    <t>Taxation - P/L</t>
  </si>
  <si>
    <t>(Being consolidation adjustment for amortisation of goodwill and reversal of surplus</t>
  </si>
  <si>
    <t xml:space="preserve"> Project Development Expenditure and the tax effect to P/L on Danau Kota for 1994)</t>
  </si>
  <si>
    <t xml:space="preserve"> Project Development Expenditure and the tax effect to P/L on Danau Kota for 1995)</t>
  </si>
  <si>
    <t xml:space="preserve"> Project Development Expenditure and the tax effect to P/L on Danau Kota for 1996)</t>
  </si>
  <si>
    <t>( Being consolidation adjustment for additional reversal of surplus Project Development</t>
  </si>
  <si>
    <t xml:space="preserve"> Expenditure and the tax effect to P/L on Danau Kota for 1995)</t>
  </si>
  <si>
    <t xml:space="preserve"> Project Development Expenditure and the tax effect to P/L on Danau Kota for 1997)</t>
  </si>
  <si>
    <t>D10</t>
  </si>
  <si>
    <t>(Being consolidation adjustment for amortisation of goodwill and adjusted</t>
  </si>
  <si>
    <t xml:space="preserve"> Project Development Expenditure and subsequent reversal for full provision for 1998)</t>
  </si>
  <si>
    <t>D11</t>
  </si>
  <si>
    <t xml:space="preserve"> Project Development Expenditure and the tax effect to P/L on Danau Kota for 1998)</t>
  </si>
  <si>
    <t>D12</t>
  </si>
  <si>
    <t>For Broadland Construction Sdn Bhd</t>
  </si>
  <si>
    <t>Pre-acquisition loss</t>
  </si>
  <si>
    <t>(Being consolidation adjustment of investment on acquisition of Broadland</t>
  </si>
  <si>
    <t xml:space="preserve"> Construction Sdn Bhd)</t>
  </si>
  <si>
    <t>Hanaku Insurance Brokers S/B(increase share capital)</t>
  </si>
  <si>
    <t>(Being consolidation adjustment for amortisation of goodwill on Broadland Cons.</t>
  </si>
  <si>
    <t xml:space="preserve"> over 25 years for 1994, 1995 &amp; 1996 - RM 23,867 x 3 years = RM 71,601)</t>
  </si>
  <si>
    <t>(Being consolidation adjustment for amortisation of goodwill on Broadland</t>
  </si>
  <si>
    <t xml:space="preserve"> Construction over 25 years for 1997)</t>
  </si>
  <si>
    <t>B4</t>
  </si>
  <si>
    <t>(Being consolidation adjustment for increase in cost investment in Broadland</t>
  </si>
  <si>
    <t>B5</t>
  </si>
  <si>
    <t xml:space="preserve"> Construction over 25 years for 1998)</t>
  </si>
  <si>
    <t>For Other Companies</t>
  </si>
  <si>
    <t>Minority Interest - B/S</t>
  </si>
  <si>
    <t>Per-acquisition loss</t>
  </si>
  <si>
    <t>Tours &amp; Travel</t>
  </si>
  <si>
    <t xml:space="preserve"> level in June '98)</t>
  </si>
  <si>
    <t xml:space="preserve">(Being Austral Leasing S/B's provision for doubtful debt not taken up at consol. </t>
  </si>
  <si>
    <t xml:space="preserve">(Being Austral Venture S/B's provision for doubtful debt not taken up at consol. </t>
  </si>
  <si>
    <t xml:space="preserve">     - Intercompany (Prov. For Doubtful debts)</t>
  </si>
  <si>
    <t xml:space="preserve">     - Other Debtors (Prov. For doubtful debts)</t>
  </si>
  <si>
    <t>Mandarin Tours &amp; Travel Sdn Bhd - Prov. For doubtful debt 6/98</t>
  </si>
  <si>
    <t xml:space="preserve">Austral Venture - Prov. for doubtful debt  not t/u at consol level in 6/98 </t>
  </si>
  <si>
    <t>Austral Leasing -  Prov. for doubtful debt  not t/u at consol level in 6/98</t>
  </si>
  <si>
    <t>Austral Amal Leasing S/B (Prov for d. debt not t/u at consol lvl in 6/98)</t>
  </si>
  <si>
    <t xml:space="preserve">     Amount owing to Ultimate holding company</t>
  </si>
  <si>
    <t xml:space="preserve">     Amount owing to Holding company</t>
  </si>
  <si>
    <t>Austral Venture S/B (Prov for doubtful debt not t/u at consol lvl in 6/98)</t>
  </si>
  <si>
    <t>(Being consolidation adjustment for cost of investment on acquisition of BZ</t>
  </si>
  <si>
    <t xml:space="preserve"> Enterprise Sdn Bhd)</t>
  </si>
  <si>
    <t>(Being consolidation adjustment for amortisation of goodwill on BZ Enterprise</t>
  </si>
  <si>
    <t xml:space="preserve"> over 25 years for 1995 &amp; 1996 - RM 71,092 x 2 years = RM 142,184)</t>
  </si>
  <si>
    <t>Retained profit b/f</t>
  </si>
  <si>
    <t>(Being MI share in BZ Enterprise Sdn Bhd for 1995)</t>
  </si>
  <si>
    <t>(Being MI share in BZ Enterprise Sdn Bhd for 1996)</t>
  </si>
  <si>
    <t>Share Capital - Profound Schemes</t>
  </si>
  <si>
    <t>Share Capital - Total Excellence</t>
  </si>
  <si>
    <t>Share Capital - Milion Quest</t>
  </si>
  <si>
    <t>Share Capital - Profound Way</t>
  </si>
  <si>
    <t>Share Capital - A. Amal Properties Mgt</t>
  </si>
  <si>
    <t>Share Capital - A. Amal Properties</t>
  </si>
  <si>
    <t>Share Capital - A. Amal Trading</t>
  </si>
  <si>
    <t>Share Capital - Duta Kota</t>
  </si>
  <si>
    <t>Share Capital - Profound Continental</t>
  </si>
  <si>
    <t>Share Capital - Ratus Bistari</t>
  </si>
  <si>
    <t>Share Capital - Kazamas</t>
  </si>
  <si>
    <t>(Being consolidation adjustment for cost of investment in subsidiaries)</t>
  </si>
  <si>
    <t>Reserve on consolidation - Merger</t>
  </si>
  <si>
    <t>(Being consolidation adjustment for elimination on acquisition of Mandarin Tours &amp;</t>
  </si>
  <si>
    <t>The effective rate of taxation of the Group is 28%.</t>
  </si>
  <si>
    <t xml:space="preserve"> Travels and deemed disposal of equity from dilution leading to a loss and retention</t>
  </si>
  <si>
    <t xml:space="preserve"> Amount owing by associated companies</t>
  </si>
  <si>
    <t xml:space="preserve"> Amount owing to associated companies</t>
  </si>
  <si>
    <t>On 16th November 1998 the Company had obtained a Restraining and Stay Order under Section 176 of the Companies Act 1965</t>
  </si>
  <si>
    <t>from the High Court of Malaya and the Order has been extended for a further eight months from 16th August 1999 and a further</t>
  </si>
  <si>
    <t>appointed the Special Administrators for three subsidiaries namely Danau Kota Development Sdn Bhd, Profound View Sdn Bhd and</t>
  </si>
  <si>
    <t>Likas View Sdn Bhd.</t>
  </si>
  <si>
    <t>The Company will endevour to keep the Kuala Lumpur Stock Exchange notified for further developments.</t>
  </si>
  <si>
    <t xml:space="preserve">Reversal of reserve on dilution of control </t>
  </si>
  <si>
    <t>International Equities Corporation Ltd (dilution of controllin stake)</t>
  </si>
  <si>
    <t>International Equities Corporation Ltd (Dilution of control)</t>
  </si>
  <si>
    <t>International Equities Corporation Ltd (dilution of control)</t>
  </si>
  <si>
    <t>SHARE CAPITAL</t>
  </si>
  <si>
    <t>MAXIMUM  SHARE OF LOSS FOR MI</t>
  </si>
  <si>
    <t>(Being Adjustment for MI share in loss of Subsidiaries - amount MI Share Capital)</t>
  </si>
  <si>
    <t xml:space="preserve"> of 55% equity holding)</t>
  </si>
  <si>
    <t>Minority Interest - P/L</t>
  </si>
  <si>
    <t>(Being MI share in Mandarin Tours &amp; Travel Sdn Bhd for 1995 - RM 175,290 &amp;</t>
  </si>
  <si>
    <t xml:space="preserve"> 1996 - RM 661,180)</t>
  </si>
  <si>
    <t>Investment in Subdiaries</t>
  </si>
  <si>
    <t>YTD TO</t>
  </si>
  <si>
    <t xml:space="preserve">LAST </t>
  </si>
  <si>
    <t>CURRENT</t>
  </si>
  <si>
    <t>PERIOD TO LAST</t>
  </si>
  <si>
    <t xml:space="preserve"> QUARTER</t>
  </si>
  <si>
    <t>LAST QUARTER</t>
  </si>
  <si>
    <t>THIS QUARTER</t>
  </si>
  <si>
    <t>DETAILED ANALYSIS OF PERFORMANCE</t>
  </si>
  <si>
    <t>Total Expenses</t>
  </si>
  <si>
    <t>THIS QUARTER (deteriorating results is higlighted)</t>
  </si>
  <si>
    <t>THIS QUARTER (deteriorating t/o is higlighted)</t>
  </si>
  <si>
    <t>The drop in the profit is due to the followings:-</t>
  </si>
  <si>
    <t>30.09.1999</t>
  </si>
  <si>
    <t xml:space="preserve">                 YEAR TO DATE</t>
  </si>
  <si>
    <t>Capital Reserve on Merger</t>
  </si>
  <si>
    <t>(Being consolidation for merger accounting on the merging with Likas View Sdn Bhd)</t>
  </si>
  <si>
    <t>Share Capital - Great Demand</t>
  </si>
  <si>
    <t>(Being consolidation adjustment for cost of investment in Great Demand Sdn Bhd)</t>
  </si>
  <si>
    <t>(Being consolidation adjustment for amortisation of goodwill on Great Demand</t>
  </si>
  <si>
    <t xml:space="preserve"> over 25 years for 1996)</t>
  </si>
  <si>
    <t>Retained profit b/f (Interest Int  AAB - Likas)</t>
  </si>
  <si>
    <t>Retained profit b/f (Interest Exp  AAB - Likas)</t>
  </si>
  <si>
    <t>(Being Inter-co elimination for RM 5,087,000 interest charged to Likas View for</t>
  </si>
  <si>
    <t xml:space="preserve"> advances given by AAB over the duration of Likas Square Project on RM 55m</t>
  </si>
  <si>
    <t xml:space="preserve"> @ 9.25% p.a.   RM 6,475,000 being interest charge by Danau Kota Development</t>
  </si>
  <si>
    <t xml:space="preserve"> for advances given over one year on RM 70,000,000 @ 9.25% p.a.)</t>
  </si>
  <si>
    <t>Capital Reserve on revaluation</t>
  </si>
  <si>
    <t>Reserve on consolidation</t>
  </si>
  <si>
    <t>Investment in Subsidiareis</t>
  </si>
  <si>
    <t>(Being consolidation adjustment for cost of investment on acquisition of Syarikat</t>
  </si>
  <si>
    <t xml:space="preserve"> Kemajuan Sasa Sdn Bhd)</t>
  </si>
  <si>
    <t>Unappripriated profit b/f</t>
  </si>
  <si>
    <t>Profit before tax</t>
  </si>
  <si>
    <t>(Being reversal of adjustment on exchange difference arising from A. Amal</t>
  </si>
  <si>
    <t>PBT/Turnover</t>
  </si>
  <si>
    <t>Tax (P/L)</t>
  </si>
  <si>
    <t>Dividend (B/S)</t>
  </si>
  <si>
    <t>(Elimination of Dividend from Hanaku to AA Capital)</t>
  </si>
  <si>
    <t>Y1b</t>
  </si>
  <si>
    <t>Dividend payable (B/S)</t>
  </si>
  <si>
    <t>Other debtors</t>
  </si>
  <si>
    <t>Deferred expenditure</t>
  </si>
  <si>
    <t>(Deferred exp written off upon deconsolidation of IEC Ltd -- refer to A56)</t>
  </si>
  <si>
    <t>(this journal Y3 and A56 will set off each other in the next consol)</t>
  </si>
  <si>
    <t>Goodwill on consol</t>
  </si>
  <si>
    <t>PBT - Deemed disposal of IEC</t>
  </si>
  <si>
    <t>(Reversal of goodwill written off upon deconsolidation of IEC)</t>
  </si>
  <si>
    <t>Con B&amp;S total adjustments</t>
  </si>
  <si>
    <t>=107129797+4219383+205000+1199046+34000000+1673913+250208-1000008+13608560+145834+217192794+6863601</t>
  </si>
  <si>
    <t>=107129797+4219383+205000+1199046+34000000+1673913+250208-1000008+13608560+1001572+145834+217192794+6863601-1000687-385107</t>
  </si>
  <si>
    <t>(Being share of Loss of IEC- YE. 6.2000)</t>
  </si>
  <si>
    <t>(Being share of profit of City Finance Bhd - YE June 2000)</t>
  </si>
  <si>
    <t xml:space="preserve"> Myanmar not taken up at company level in Eminent Equity but adjusted at group</t>
  </si>
  <si>
    <t xml:space="preserve"> Level in previous year)</t>
  </si>
  <si>
    <t>(Being MI share in Mandarin Tours &amp; Travel Sdn Bhd for 1997)</t>
  </si>
  <si>
    <t>Minority Interest</t>
  </si>
  <si>
    <t>(Being MI share of revaluation reserve for Mandarin Tours &amp; Travel for 1997)</t>
  </si>
  <si>
    <t>Share Capital - Million Quest Capital</t>
  </si>
  <si>
    <t>Share Capital - Million Quest Equity</t>
  </si>
  <si>
    <t>Share Capital - Million Quest (Myanmar)</t>
  </si>
  <si>
    <t>Share Capital - A. Amalgamated Capital</t>
  </si>
  <si>
    <t>Share Capital - A. Amalgamated International</t>
  </si>
  <si>
    <t>Share Capital - A. Amalgamated Overseas</t>
  </si>
  <si>
    <t>Share Capital - A. Amalgamated Assets</t>
  </si>
  <si>
    <t>Share Capital - Golden forum</t>
  </si>
  <si>
    <t>december profit</t>
  </si>
  <si>
    <t>city finance</t>
  </si>
  <si>
    <t>June profit</t>
  </si>
  <si>
    <t>half year to dec</t>
  </si>
  <si>
    <t>(Being cosolidation adjustment for cost of investment in Subsidiaries)</t>
  </si>
  <si>
    <t>Capital Reverse on revaluation</t>
  </si>
  <si>
    <t>Pre-acquisition profit</t>
  </si>
  <si>
    <t xml:space="preserve">Reserves on consolidation </t>
  </si>
  <si>
    <t>(Being consolidation adjustment for cost of investment on acquisition of Malaya</t>
  </si>
  <si>
    <t xml:space="preserve"> Ceramics Industries Sdn Bhd, i.e A. Amal Properties PJ)</t>
  </si>
  <si>
    <t>(Being consolidation adjustment for cost of acquisition of 100% of Hanaku</t>
  </si>
  <si>
    <t xml:space="preserve"> Insurance Brokers Sdn Bhd) </t>
  </si>
  <si>
    <t>(Being consolidation adjustment for cost of acquisition of 100% of Commerce</t>
  </si>
  <si>
    <t xml:space="preserve"> Asset Leasing Sdn Bhd  i.e. Austral Amal Leasing)</t>
  </si>
  <si>
    <t>(Being consolidation adjustment for cost of acquisition of 100% of Iras Prima)</t>
  </si>
  <si>
    <t>(Being consolidation adjustment for cost of acquisition of 75% of Profound View</t>
  </si>
  <si>
    <t xml:space="preserve"> by Iras Prima)</t>
  </si>
  <si>
    <t>(Being MI share in Profound View for 1997)</t>
  </si>
  <si>
    <t>(Being consolidation adjustment for cost of acnuisition of 100% of Astrogold by</t>
  </si>
  <si>
    <t xml:space="preserve"> Danau Kota Development)</t>
  </si>
  <si>
    <t>Retained profit</t>
  </si>
  <si>
    <t>Profit before tax (exceptional item)</t>
  </si>
  <si>
    <t>(Being gain on disposal of Eminent Equity Sdn Bhd)</t>
  </si>
  <si>
    <t>Fixed Assets</t>
  </si>
  <si>
    <t>Investment in Associated Companies</t>
  </si>
  <si>
    <t>Long Term Investments</t>
  </si>
  <si>
    <t>Intangible Assets</t>
  </si>
  <si>
    <t>Trade Debtors</t>
  </si>
  <si>
    <t>Short Term Investments</t>
  </si>
  <si>
    <t>AS AT</t>
  </si>
  <si>
    <t>END OF</t>
  </si>
  <si>
    <t xml:space="preserve">CURRENT </t>
  </si>
  <si>
    <t>PRECEDING</t>
  </si>
  <si>
    <t>FINANCIAL</t>
  </si>
  <si>
    <t>YEAR END</t>
  </si>
  <si>
    <t>Cash</t>
  </si>
  <si>
    <t>Others</t>
  </si>
  <si>
    <t xml:space="preserve">Others </t>
  </si>
  <si>
    <t>Current Liabilities</t>
  </si>
  <si>
    <t>Short Term Borrowings</t>
  </si>
  <si>
    <t>Net Current Assets or Current Liabilities</t>
  </si>
  <si>
    <t>Shareholders' Funds</t>
  </si>
  <si>
    <t>Reserves</t>
  </si>
  <si>
    <t>Share Premium</t>
  </si>
  <si>
    <t>Revaluation Reserve</t>
  </si>
  <si>
    <t>Statutory Reserve</t>
  </si>
  <si>
    <t>Long Term Borrowings</t>
  </si>
  <si>
    <t>Lease and Hire Purchase Recevables</t>
  </si>
  <si>
    <t>Other Debtors, deposits and Prepayments</t>
  </si>
  <si>
    <t xml:space="preserve">Other Long Term Liabilities - deferred tax </t>
  </si>
  <si>
    <t>NOTES</t>
  </si>
  <si>
    <t>Exceptional Items</t>
  </si>
  <si>
    <t>shares and resale of treasury shares for the current financial year to date.</t>
  </si>
  <si>
    <t>Secured Borrowings</t>
  </si>
  <si>
    <t>Unsecured Borrowings</t>
  </si>
  <si>
    <t>Long Term</t>
  </si>
  <si>
    <t>Short Term</t>
  </si>
  <si>
    <t>Property Development</t>
  </si>
  <si>
    <t>Tour &amp; Travel Agent</t>
  </si>
  <si>
    <t>Financial services</t>
  </si>
  <si>
    <t>Profit/(Loss) before Taxation</t>
  </si>
  <si>
    <t>Total Assets Employed</t>
  </si>
  <si>
    <t>Investment holding</t>
  </si>
  <si>
    <t>Review of performance</t>
  </si>
  <si>
    <t>Commentary on current year prospect</t>
  </si>
  <si>
    <t>There were no pre-acquisition profits for the year to date.</t>
  </si>
  <si>
    <t xml:space="preserve">Operating profit/(loss) after </t>
  </si>
  <si>
    <t>interest on borrowings,</t>
  </si>
  <si>
    <t xml:space="preserve">depreciation and </t>
  </si>
  <si>
    <t>amortisation and</t>
  </si>
  <si>
    <t>exceptional items but</t>
  </si>
  <si>
    <t xml:space="preserve">before income tax and </t>
  </si>
  <si>
    <t>extraordinary items</t>
  </si>
  <si>
    <t>Share in the results of</t>
  </si>
  <si>
    <t>associated companies</t>
  </si>
  <si>
    <t>before deducting minority interests</t>
  </si>
  <si>
    <t>(h)</t>
  </si>
  <si>
    <t>and extraordinary items</t>
  </si>
  <si>
    <t>Profit/(loss) after taxation</t>
  </si>
  <si>
    <t>(j)</t>
  </si>
  <si>
    <t>(k)</t>
  </si>
  <si>
    <t>(l)</t>
  </si>
  <si>
    <t xml:space="preserve">Profit/(Loss) after taxation </t>
  </si>
  <si>
    <t>attributable to members of the company</t>
  </si>
  <si>
    <t>Financial Result Announcement</t>
  </si>
  <si>
    <t>(if applicable)</t>
  </si>
  <si>
    <t>*</t>
  </si>
  <si>
    <t xml:space="preserve">* </t>
  </si>
  <si>
    <t xml:space="preserve">Financial Year End : </t>
  </si>
  <si>
    <t>Quarter                   :</t>
  </si>
  <si>
    <t>Quarterly report on consolidated results for the financial period ended</t>
  </si>
  <si>
    <t>Earnings in per share</t>
  </si>
  <si>
    <t>based on 2(j) above after deducting</t>
  </si>
  <si>
    <t xml:space="preserve">any provision for preference </t>
  </si>
  <si>
    <t>Basic (based on ordinary shares (sen)</t>
  </si>
  <si>
    <t>Fully diluted (based on ordinary shares -sen)</t>
  </si>
  <si>
    <t>Dividend per share (sen)</t>
  </si>
  <si>
    <t>Dividend description</t>
  </si>
  <si>
    <t>AS AT END OF CURRENT QUARTER</t>
  </si>
  <si>
    <t>Remark:</t>
  </si>
  <si>
    <t>O Qtr 1</t>
  </si>
  <si>
    <t>D13</t>
  </si>
  <si>
    <t>Consol Profit and Loss Tax</t>
  </si>
  <si>
    <t>(Being amount of PDE and the deferred tax effect for 1999)</t>
  </si>
  <si>
    <t>Broadland Amalgamated - reversal of provision of dim. In investmn)</t>
  </si>
  <si>
    <t>Golden Forum S/B - rev prov - interco</t>
  </si>
  <si>
    <t>Exquisite Properties S/B - rev pro - interco</t>
  </si>
  <si>
    <t>Austral Amalgamated Capital S/B - rev prov dim inv &amp; interco</t>
  </si>
  <si>
    <t>Danau Kota Development S/B (reversal of surplus 1999)</t>
  </si>
  <si>
    <t>Austral Leasing S/B</t>
  </si>
  <si>
    <t>Broadland Amalgamated S/B (reversal of prov. for diminution)</t>
  </si>
  <si>
    <t>O Qtr 2</t>
  </si>
  <si>
    <t>O Qtr 3</t>
  </si>
  <si>
    <t>O Qtr 4</t>
  </si>
  <si>
    <t>O Other</t>
  </si>
  <si>
    <t xml:space="preserve">* The figures  </t>
  </si>
  <si>
    <t xml:space="preserve">O have been audited </t>
  </si>
  <si>
    <t>O have not been audited</t>
  </si>
  <si>
    <t xml:space="preserve">AS AT PRECEDING FINANCIAL YEAR </t>
  </si>
  <si>
    <t>END</t>
  </si>
  <si>
    <t>Exchange equalisation reserve</t>
  </si>
  <si>
    <t>(Being MI share of Eminent Equity Sdn Bhd equalisation reserve)</t>
  </si>
  <si>
    <t>Investment in Associated Company</t>
  </si>
  <si>
    <t>Mandarin Tours &amp; Travel S/B - Associate Company</t>
  </si>
  <si>
    <t>Mandarin Tours &amp; Travel S/B - Associate Company's tax</t>
  </si>
  <si>
    <t>Provision for Taxation</t>
  </si>
  <si>
    <t>(Being share of profit and tax of associated company - City Finance Bhd)</t>
  </si>
  <si>
    <t>Capital reserve</t>
  </si>
  <si>
    <t>(Being revaluation deficit at Syarikat Kemajuan Sasa S/B written off ref. A 93)</t>
  </si>
  <si>
    <t>Profit before tax (Exceptional Item)</t>
  </si>
  <si>
    <t>(Being realisation of share of associated company - City Finance profits on disposal)</t>
  </si>
  <si>
    <t>(Being consolidation adjustment for cost of investment on acquisition of 100% of</t>
  </si>
  <si>
    <t xml:space="preserve"> Broadland Amalgamated Sdn Bhd by Million Quest Sdn Bhd)</t>
  </si>
  <si>
    <t xml:space="preserve"> Exquisite Properties Sdn Bhd by A. Amalgamated Assets Sdn Bhd)</t>
  </si>
  <si>
    <t>(Being reduction of profit on disposal of interest due on capitalisation of post</t>
  </si>
  <si>
    <t xml:space="preserve"> acquisition reserves accruind to the 10.1% of Malex shares after the part disposal</t>
  </si>
  <si>
    <t xml:space="preserve"> of investment in associated Co)</t>
  </si>
  <si>
    <t>(Being write back of deferred expenditure amortisation at company level as the</t>
  </si>
  <si>
    <t xml:space="preserve"> intangible assets is already included under goodwill at group level)</t>
  </si>
  <si>
    <t>Investment in Associated Co</t>
  </si>
  <si>
    <t>Retained profits b/f</t>
  </si>
  <si>
    <t>(Being share of post acquisition profits b/f - City Finance Bhd)</t>
  </si>
  <si>
    <t>Divided</t>
  </si>
  <si>
    <t>(Being adjustment to reflect payment of dividens to Hanaku Insurance Brokers</t>
  </si>
  <si>
    <t xml:space="preserve"> Previous shareholders in order to arrive at A. Amalgamated Capital post acquisition</t>
  </si>
  <si>
    <t xml:space="preserve"> of Hanaku Insurance results)</t>
  </si>
  <si>
    <t xml:space="preserve">  over 25 years for 1997)</t>
  </si>
  <si>
    <t xml:space="preserve"> over 25 years for 1997)</t>
  </si>
  <si>
    <t>(Being consolidation adjustment for amortisation of goodwill on Iras Prima over</t>
  </si>
  <si>
    <t xml:space="preserve"> 25 years for 1997)</t>
  </si>
  <si>
    <t>(Being consolidation adjustment for amortisation of goodwill on IEC Ltd over</t>
  </si>
  <si>
    <t xml:space="preserve"> Amalgamated over 25 years for 1997)</t>
  </si>
  <si>
    <t>(Being consolidation adjustment for amortisation of goodwill on Exquisite</t>
  </si>
  <si>
    <t xml:space="preserve"> Properties over 25 years for 1997)</t>
  </si>
  <si>
    <t>(Being consolidation adjustment for amortisation of goodwill on Astrogold Sdn Bhd</t>
  </si>
  <si>
    <t>(Being consolidation adjustment for amortisation of goodwill on Hanaku Insurance</t>
  </si>
  <si>
    <t>Share Capital - Ratus Bistari S/B</t>
  </si>
  <si>
    <t>Share Capital - Austral Amal Trading S/B</t>
  </si>
  <si>
    <t>PROFIT AND LOSS ACCOUNT OF ASSOCIATE COMPANY</t>
  </si>
  <si>
    <t>A77</t>
  </si>
  <si>
    <t>(Being share in loss of Associated Co - City Finance Bhd- for 1999)</t>
  </si>
  <si>
    <t>City Finance Bhd (post acq loss 1999)</t>
  </si>
  <si>
    <t>A78</t>
  </si>
  <si>
    <t>A79</t>
  </si>
  <si>
    <t>(Being consolidation adjustment for increase in cost of investment in subsidiaries)</t>
  </si>
  <si>
    <t>Share Capital - A. Amalgamated Hotel Mgt S/B</t>
  </si>
  <si>
    <t>Share Capital - A. Amalgamated Hotel &amp; Resorts S/B</t>
  </si>
  <si>
    <t>Share Capital - Austral Venture S/B</t>
  </si>
  <si>
    <t>(Being cosolidation adjustment for cost of investment in subsidiaries)</t>
  </si>
  <si>
    <t>Investment in subsidiary</t>
  </si>
  <si>
    <t xml:space="preserve">         Loan interest</t>
  </si>
  <si>
    <t xml:space="preserve">     Loan Interest</t>
  </si>
  <si>
    <t xml:space="preserve">      Depreciation</t>
  </si>
  <si>
    <t xml:space="preserve">       Loan Interest</t>
  </si>
  <si>
    <t xml:space="preserve">       Depreciation</t>
  </si>
  <si>
    <t xml:space="preserve">            BBMB OD</t>
  </si>
  <si>
    <t>Goodwill - Broadland Amalgamated Bhd</t>
  </si>
  <si>
    <t>Profit before Tax</t>
  </si>
  <si>
    <t>(Being consolidation adjustment for goodwill amortised due to transfer of investment</t>
  </si>
  <si>
    <t>Malaya Ceramics Industries (AA Properties (PJ) S/B - amor. 1999)</t>
  </si>
  <si>
    <t xml:space="preserve"> at par value to AA Assets from Million Quest S/B)</t>
  </si>
  <si>
    <t>Accumulated Profit b/f</t>
  </si>
  <si>
    <t>Profit before Tax - Exceptional Item</t>
  </si>
  <si>
    <t>(Being consolidation adjustment for loss on disposal of Million Quest S/B)</t>
  </si>
  <si>
    <t>Goodwill - Austral Amal Properties (PJ) S/B (MCI)</t>
  </si>
  <si>
    <t>Investment in Subsidiary</t>
  </si>
  <si>
    <t>(Being goodwill on additional cost of investment in AAP PJ (MCI) )</t>
  </si>
  <si>
    <t xml:space="preserve">  over 25 years for 1998)</t>
  </si>
  <si>
    <t xml:space="preserve">  reversal for full provision on BZ Enterprise for 1998)</t>
  </si>
  <si>
    <t xml:space="preserve"> over 25 years for 1998)</t>
  </si>
  <si>
    <t xml:space="preserve"> 25 years for 1998)</t>
  </si>
  <si>
    <t>(Being consolidation adjustment for amortisation of goodwill and the subsequent</t>
  </si>
  <si>
    <t xml:space="preserve"> reversal for full provision on IEC Ltd for 1998)</t>
  </si>
  <si>
    <t xml:space="preserve"> Properties over 25 years for 1998)</t>
  </si>
  <si>
    <t>(Being Deferred Expenditure on consolidation of IEC Ltd written down)</t>
  </si>
  <si>
    <t>Profit Before tax - Associated Co</t>
  </si>
  <si>
    <t>Investment in Accociated Co</t>
  </si>
  <si>
    <t>(Being share in loss of Associated Co - City Finance Bhd)</t>
  </si>
  <si>
    <t>Minority Interest - B/S (IEC Ltd)</t>
  </si>
  <si>
    <t>Minority Interest - B/S (Mandarin Tours)</t>
  </si>
  <si>
    <t>Minority Interest - P/L (IEC Ltd)</t>
  </si>
  <si>
    <t>Minority Interest - P/L (Mandarin Tours)</t>
  </si>
  <si>
    <t>(Being MI share in loss of Subsidiaries)</t>
  </si>
  <si>
    <t>Minority Interest - B/S (Profound View)</t>
  </si>
  <si>
    <t>Minority Interest - P/L (Profound View)</t>
  </si>
  <si>
    <t>(Being MI share in profit of Subsidiary)</t>
  </si>
  <si>
    <t>Revenue reserve on Exchange Equilisation</t>
  </si>
  <si>
    <t>Minority Interest - IEC Ltd</t>
  </si>
  <si>
    <t>(Being Mi share in IEC Ltd exchance equilisation loss)</t>
  </si>
  <si>
    <t>Dividend - B/S</t>
  </si>
  <si>
    <t>Dividend - P/L</t>
  </si>
  <si>
    <t>(Being adjustment of dividend of Hanaku Insurance Sdn Bhd)</t>
  </si>
  <si>
    <t>Other Debtors</t>
  </si>
  <si>
    <t>Other Creditors</t>
  </si>
  <si>
    <t xml:space="preserve">   Inter Co Balances - A Amal Properties</t>
  </si>
  <si>
    <t xml:space="preserve">   Inter Co Balances - A Amal Trading</t>
  </si>
  <si>
    <t xml:space="preserve">   Inter Co Balances - Austral Venture</t>
  </si>
  <si>
    <t xml:space="preserve">   Inter Co Balances - Broadland Construction</t>
  </si>
  <si>
    <t xml:space="preserve">   Inter Co Balances - Likas View</t>
  </si>
  <si>
    <t xml:space="preserve">   Inter Co Balances - A Amal Prop. Mgt</t>
  </si>
  <si>
    <t xml:space="preserve">   Inter Co Balances - AA Assets</t>
  </si>
  <si>
    <t xml:space="preserve">   Inter Co Balances - AA Capital</t>
  </si>
  <si>
    <t xml:space="preserve">   Inter Co Balances - Duta Kota</t>
  </si>
  <si>
    <t>Pasar Ria Likas Square</t>
  </si>
  <si>
    <t>Mandarin Tours &amp; Travel S/B (reversal 1999)</t>
  </si>
  <si>
    <t>AA Properties (PJ) revaluation deficit on co level reversed</t>
  </si>
  <si>
    <t>A90</t>
  </si>
  <si>
    <t xml:space="preserve">   Inter Co Balances - Iras Prima</t>
  </si>
  <si>
    <t xml:space="preserve"> Other debtors - Balancing Adjustment</t>
  </si>
  <si>
    <t>Y6,Y7</t>
  </si>
  <si>
    <t>A61a</t>
  </si>
  <si>
    <t>City Finance</t>
  </si>
  <si>
    <t>jul - dec '98</t>
  </si>
  <si>
    <t>jan - june '99</t>
  </si>
  <si>
    <t xml:space="preserve">   Inter Co Balances - Profound Schemes</t>
  </si>
  <si>
    <t xml:space="preserve">   Inter Co Balances - Profound Way</t>
  </si>
  <si>
    <t xml:space="preserve">   Inter Co Balances - Total Excellence</t>
  </si>
  <si>
    <t xml:space="preserve">   Inter Co Balances - Mandarin Tours</t>
  </si>
  <si>
    <t>(Being consolidation adjustment for provision on subsidiaries at AAB level)</t>
  </si>
  <si>
    <t>Amount owing to Holding Co</t>
  </si>
  <si>
    <t>Amount owing to Subsidiary Co</t>
  </si>
  <si>
    <t>Amount owing to Related Co</t>
  </si>
  <si>
    <t>Amount owing by Holding Co</t>
  </si>
  <si>
    <t>Amount owing by Subsidiary Co</t>
  </si>
  <si>
    <t>Amount owing by Related Co</t>
  </si>
  <si>
    <t>Pasaraya</t>
  </si>
  <si>
    <t>ok</t>
  </si>
  <si>
    <t>(Being Casting Error on adjustment for Danau Kota Dev. Goodwill 167640-167410)</t>
  </si>
  <si>
    <t>(Being Casting Error on adjustment for Braodland Cons. Goodwill 37279-37259)</t>
  </si>
  <si>
    <t>Investment in subsidiaries</t>
  </si>
  <si>
    <t>Profit before Tax - Exceptional Item (Inv. In Subs)</t>
  </si>
  <si>
    <t>Profit before Tax - Exceptional Item (Inter Co. Bal)</t>
  </si>
  <si>
    <t xml:space="preserve"> - Danau Kota Development S/B</t>
  </si>
  <si>
    <t xml:space="preserve"> - Austral Amal Trading S/B</t>
  </si>
  <si>
    <t xml:space="preserve"> - Austral Venture S/B</t>
  </si>
  <si>
    <t xml:space="preserve"> - Likas View S/B</t>
  </si>
  <si>
    <t xml:space="preserve"> - Austral Amal Prop. Mgt</t>
  </si>
  <si>
    <t xml:space="preserve"> - Austral Amalgamated Assets S/B</t>
  </si>
  <si>
    <t xml:space="preserve"> - Austral Amalgamated Capital S/B</t>
  </si>
  <si>
    <t xml:space="preserve"> - AA Hotel &amp; Resorts S/B</t>
  </si>
  <si>
    <t xml:space="preserve"> - AA Hotel Mgt. S/B</t>
  </si>
  <si>
    <t xml:space="preserve"> - Duta Kota S/B</t>
  </si>
  <si>
    <t xml:space="preserve"> - Iras Prima S/B</t>
  </si>
  <si>
    <t xml:space="preserve"> - Kazamas S/B</t>
  </si>
  <si>
    <t xml:space="preserve"> - Profound Continental S/B</t>
  </si>
  <si>
    <t xml:space="preserve"> - Profound Schemes S/B</t>
  </si>
  <si>
    <t xml:space="preserve"> - Profound Way S/B</t>
  </si>
  <si>
    <t xml:space="preserve"> - Total Excellence S/B</t>
  </si>
  <si>
    <t xml:space="preserve"> - Mandarin Tours &amp; Travel S/B</t>
  </si>
  <si>
    <t xml:space="preserve"> - IEC Ltd</t>
  </si>
  <si>
    <t xml:space="preserve"> - Broadland Amalgamated S/B</t>
  </si>
  <si>
    <t xml:space="preserve"> - Golden Forum S/B</t>
  </si>
  <si>
    <t>Total Group adjustments for Prior Year Consolidation Differences</t>
  </si>
  <si>
    <t>Prior Year Consolidation Difference</t>
  </si>
  <si>
    <t xml:space="preserve">Extraordinary Item attributable to </t>
  </si>
  <si>
    <t>Danau Kota Development S/B (prov. For diminution)</t>
  </si>
  <si>
    <t>Austral Amal Trading S/B (prov for diminution)</t>
  </si>
  <si>
    <t>Austral Venture S/B</t>
  </si>
  <si>
    <t>Austral Venture S/B (prov. for diminution)</t>
  </si>
  <si>
    <t>Austral Amal Properties Management S/B (prov. for diminution)</t>
  </si>
  <si>
    <t>Austral Amalgamated Hotel &amp; Resorts S/B (prov. for diminution)</t>
  </si>
  <si>
    <t>Austral Amalgamated Hotel Management S/B (prov. for diminution)</t>
  </si>
  <si>
    <t>Duta Kota S/B (prov. for diminution)</t>
  </si>
  <si>
    <t>Likas View Sdn Bhd (prov. for diminution)</t>
  </si>
  <si>
    <t>Iras Prima S/B (prov. for diminution)</t>
  </si>
  <si>
    <t>Kazamas Corporation S/B (prov. for diminution)</t>
  </si>
  <si>
    <t>A63</t>
  </si>
  <si>
    <t>A43</t>
  </si>
  <si>
    <t>A44</t>
  </si>
  <si>
    <t>A45</t>
  </si>
  <si>
    <t>A46</t>
  </si>
  <si>
    <t>A47</t>
  </si>
  <si>
    <t>A48</t>
  </si>
  <si>
    <t>(Being consolidation adjustment for amortisation of goodwill on AAP(PJ) MCI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</si>
  <si>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</si>
  <si>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</si>
  <si>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</si>
  <si>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</si>
  <si>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</si>
  <si>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</si>
  <si>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</si>
  <si>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</si>
  <si>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</si>
  <si>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</si>
  <si>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Minority Interest - B/S (Mandarin Tours over adj))</t>
  </si>
  <si>
    <t>A59</t>
  </si>
  <si>
    <t>A60</t>
  </si>
  <si>
    <t>A61</t>
  </si>
  <si>
    <t>Amount owing by subsidiary Company</t>
  </si>
  <si>
    <t xml:space="preserve">   Corporate Guarantee - Mandarin 2620K &amp; BZ 2400K</t>
  </si>
  <si>
    <t>A62</t>
  </si>
  <si>
    <t>1.</t>
  </si>
  <si>
    <t>(a)</t>
  </si>
  <si>
    <t>Turnover</t>
  </si>
  <si>
    <t>(b)</t>
  </si>
  <si>
    <t>2.</t>
  </si>
  <si>
    <t>(c)</t>
  </si>
  <si>
    <t>(d)</t>
  </si>
  <si>
    <t>(i)</t>
  </si>
  <si>
    <t>(ii)</t>
  </si>
  <si>
    <t>Less: Minority Interest</t>
  </si>
  <si>
    <t>(e)</t>
  </si>
  <si>
    <t xml:space="preserve">attributable to the members of the </t>
  </si>
  <si>
    <t>Company</t>
  </si>
  <si>
    <t>(f)</t>
  </si>
  <si>
    <t>(iii)</t>
  </si>
  <si>
    <t>members of the Company</t>
  </si>
  <si>
    <t>(g)</t>
  </si>
  <si>
    <t>3.</t>
  </si>
  <si>
    <t>B6</t>
  </si>
  <si>
    <t xml:space="preserve">BZ  </t>
  </si>
  <si>
    <t>(Being consolidation adjustment for writing off  goodwill on Broadland</t>
  </si>
  <si>
    <t xml:space="preserve">  Construction Sdn Bhd in  1999)</t>
  </si>
  <si>
    <t>(Being consolidation adjustment for  goodwill on AAP(PJ) MCI</t>
  </si>
  <si>
    <t xml:space="preserve">  written off in 1999)</t>
  </si>
  <si>
    <t xml:space="preserve">  Properties S/B  written off in 1999)</t>
  </si>
  <si>
    <t>Broadland Construction S/B (amor. 1999)</t>
  </si>
  <si>
    <t>Broadland Construction Sdn Bhd</t>
  </si>
  <si>
    <t>A71</t>
  </si>
  <si>
    <t>A72</t>
  </si>
  <si>
    <t>A73</t>
  </si>
  <si>
    <t>A74</t>
  </si>
  <si>
    <t>A75</t>
  </si>
  <si>
    <t>A76</t>
  </si>
  <si>
    <t>Great Demand SB</t>
  </si>
  <si>
    <t>Austral Amal Properties (PJ) S/B</t>
  </si>
  <si>
    <t>Iras Prima Sdn Bhd</t>
  </si>
  <si>
    <t>Great Demand Sdn Bhd (amor. 1999)</t>
  </si>
  <si>
    <t>Hanaku Insurance Brokers S/B (amor. 1999)</t>
  </si>
  <si>
    <t>Iras Prima S/B (amor. 1999)</t>
  </si>
  <si>
    <t>Astrogold S/B (amor. 1999)</t>
  </si>
  <si>
    <t>Exquisite Properties S/B (amor. 1999)</t>
  </si>
  <si>
    <t>4.</t>
  </si>
  <si>
    <t>Loan Interest</t>
  </si>
  <si>
    <t xml:space="preserve">     AAB</t>
  </si>
  <si>
    <t xml:space="preserve">     DKD</t>
  </si>
  <si>
    <t xml:space="preserve">      PVSB</t>
  </si>
  <si>
    <t>BZ Enterprise Sdn Bhd (MI Share for 1999)</t>
  </si>
  <si>
    <t>Mandarin Tours &amp; Travel Sdn Bhd (MI Share for 1999)</t>
  </si>
  <si>
    <t>Profound View Sdn Bhd (MI Share for 1999)</t>
  </si>
  <si>
    <t>A64</t>
  </si>
  <si>
    <t>Trade Creditors</t>
  </si>
  <si>
    <t>(Being unppropriated profits of Mandarin Tours &amp; Travel adjusted)</t>
  </si>
  <si>
    <t>Capital Reserve</t>
  </si>
  <si>
    <t>Y1</t>
  </si>
  <si>
    <t>Y2</t>
  </si>
  <si>
    <t>Y3</t>
  </si>
  <si>
    <t>Share in results of Associated Co</t>
  </si>
  <si>
    <t>Associated Co - B/S</t>
  </si>
  <si>
    <t>Y6</t>
  </si>
  <si>
    <t>Y7</t>
  </si>
  <si>
    <t>(Being share in results of associated co of Mandarin Tours &amp; Travel S/B)</t>
  </si>
  <si>
    <t>Y4</t>
  </si>
  <si>
    <t>Y5</t>
  </si>
  <si>
    <t>(Being Eminent Equity reserve written off)</t>
  </si>
  <si>
    <t>Prior year</t>
  </si>
  <si>
    <t>Mandarin Tours &amp; Travel - Associated Co</t>
  </si>
  <si>
    <t>Mandarin Tours &amp; Travel S/B (MI share for 1998 over adj.)</t>
  </si>
  <si>
    <t>Mandarin Tours &amp; Travel S/B (Share in associated Co)</t>
  </si>
  <si>
    <t>Mandarin Tours &amp; Travel S/B (Share in associated Co Tax)</t>
  </si>
  <si>
    <t>Mandarin Tours &amp; Travel S/B (adjustment)</t>
  </si>
  <si>
    <t>30/06/2001</t>
  </si>
  <si>
    <t>* 30/09/2000</t>
  </si>
  <si>
    <t>1ST QUARTER</t>
  </si>
  <si>
    <t>The 1st quarter financial statements have been prepared using the same accounting policies, method of computation and basis</t>
  </si>
  <si>
    <t>Segmental information for the period ended 30th September  2000 are as follows:-</t>
  </si>
  <si>
    <t>Material Changes in Quarterly Results compared to the Results of the Preceding Quarter</t>
  </si>
  <si>
    <t>There were no material changes in the quarterly results compared to the results of the preceding quarter.</t>
  </si>
  <si>
    <t>30.09.00</t>
  </si>
  <si>
    <t>Profound Continental S/B (prov. For diminution)</t>
  </si>
  <si>
    <t>Profound Schemes S/B (prov. for diminution)</t>
  </si>
  <si>
    <t>Profound Way S/B (prov. for diminution)</t>
  </si>
  <si>
    <t>Total Excellence S/B (prov. for diminution)</t>
  </si>
  <si>
    <t>Mandarin Tours &amp; Travel S/B (prov. for diminution)</t>
  </si>
  <si>
    <t>International Equities Corporation Ltd (prov. for diminution)</t>
  </si>
  <si>
    <t>Austral Amalgamated Assets S/B (prov. for diminution)</t>
  </si>
  <si>
    <t>Austral Amalgamated Capital S/B (prov. for diminution)</t>
  </si>
  <si>
    <t>Exquisite Properties S/B (prov. for diminution)</t>
  </si>
  <si>
    <t>Broadland Amalgamated S/B (prov. for diminution)</t>
  </si>
  <si>
    <t xml:space="preserve">Submitting Merchant Bank                   </t>
  </si>
  <si>
    <t xml:space="preserve">Submitting Secretarial Firm Name         </t>
  </si>
  <si>
    <t xml:space="preserve">Company name                                    </t>
  </si>
  <si>
    <t xml:space="preserve">Stock name                                         </t>
  </si>
  <si>
    <t xml:space="preserve">Stock code                                          </t>
  </si>
  <si>
    <t xml:space="preserve">Contact person                                    </t>
  </si>
  <si>
    <t xml:space="preserve">Designation                                         </t>
  </si>
  <si>
    <t>: AUSTRAL AMALGAMATED BERHAD</t>
  </si>
  <si>
    <t>: A AMAL</t>
  </si>
  <si>
    <t>: 2097</t>
  </si>
  <si>
    <t>:</t>
  </si>
  <si>
    <t>Broadland Construction S/B (goodwill amor. 1998)</t>
  </si>
  <si>
    <t>Danau Kota Development S/B (additional)</t>
  </si>
  <si>
    <t>Danau Kota Development S/B (Tax - additional 1998)</t>
  </si>
  <si>
    <t>BZ Enterprise S/B (full prov. of balance 1998)</t>
  </si>
  <si>
    <t>Difference with B/S worksheet</t>
  </si>
  <si>
    <t>Danau Kota Development S/B (full prov. of balance 1998)</t>
  </si>
  <si>
    <t>Investment Income</t>
  </si>
  <si>
    <t>Other Income including interest income</t>
  </si>
  <si>
    <t>INDIVIDUAL PERIOD</t>
  </si>
  <si>
    <t>CURRENT YEAR</t>
  </si>
  <si>
    <t>QUARTER</t>
  </si>
  <si>
    <t>PRECEDING YEAR</t>
  </si>
  <si>
    <t>CORRESPONDING</t>
  </si>
  <si>
    <t>CUMULATIVE PERIOD</t>
  </si>
  <si>
    <t>TO DATE</t>
  </si>
  <si>
    <t>PERIOD</t>
  </si>
  <si>
    <t>Operating profit/(loss)</t>
  </si>
  <si>
    <t xml:space="preserve">before interest on borrowings, </t>
  </si>
  <si>
    <t>depreciation and amortisation</t>
  </si>
  <si>
    <t xml:space="preserve">exceptional items, income tax, minority </t>
  </si>
  <si>
    <t>Consol Profit before tax</t>
  </si>
  <si>
    <t>Investment in associate company</t>
  </si>
  <si>
    <t>Amount owing by subsidiaries</t>
  </si>
  <si>
    <t>Retained earnings (98)</t>
  </si>
  <si>
    <t>(Being consolidation adjustment for reversal of additional provision (1998) for</t>
  </si>
  <si>
    <t>interco balances at Austral Amalgamated Bhd co level)</t>
  </si>
  <si>
    <t xml:space="preserve"> - Exquisite Properties S/B</t>
  </si>
  <si>
    <t>(Being consolidation adjustment for reversal of provision diminution in value of</t>
  </si>
  <si>
    <t>investment in subsidiary at Austral Amalgamated Assets co level)</t>
  </si>
  <si>
    <t xml:space="preserve"> - Austral Leasing S/B</t>
  </si>
  <si>
    <t>Interco balances</t>
  </si>
  <si>
    <t>investment in subsidiary and interco balances at Austral Amalgamated Capital co level)</t>
  </si>
  <si>
    <t>Inter Co Balances - BZ Enterprise S/B</t>
  </si>
  <si>
    <t>investment in subsidiary and interco balances at Profound Scheme S/B co level)</t>
  </si>
  <si>
    <t>Consol P/L - Capitalisation (Current Year)</t>
  </si>
  <si>
    <t>(Being capitalisation of bonus issue of Hanaku Insurance )</t>
  </si>
  <si>
    <t>PBT (audit)</t>
  </si>
  <si>
    <t>PBT (mgmt)</t>
  </si>
  <si>
    <t>Profit Before tax - tax from Associated Co</t>
  </si>
  <si>
    <t>20% of PBT</t>
  </si>
  <si>
    <t>20% of tax</t>
  </si>
  <si>
    <t>MI - B/S (B/Z)</t>
  </si>
  <si>
    <t>MI - B/S (MTT)</t>
  </si>
  <si>
    <t>MI - B/S (PVSB)</t>
  </si>
  <si>
    <t>Capital reserves</t>
  </si>
  <si>
    <t>MI - P/L</t>
  </si>
  <si>
    <t>PBT - Exceptional Items</t>
  </si>
  <si>
    <t>investment in subsidiary and interco balances at Austral Amalgamated Assets co level)</t>
  </si>
  <si>
    <t>-Austral Leasing S/B</t>
  </si>
  <si>
    <t>-Hanaku Insuarance Brokers S/B</t>
  </si>
  <si>
    <t>PBT - Exceptional Item</t>
  </si>
  <si>
    <t xml:space="preserve">(Being consolidation adjustment for reversal of provision diminution in value of </t>
  </si>
  <si>
    <t xml:space="preserve"> investment in subsidiary and interco balances at Austral Amalgamated Capital co level)</t>
  </si>
  <si>
    <t xml:space="preserve"> - Profound View S/B</t>
  </si>
  <si>
    <t>investment in subsidiary and interco balances at Iras Prima S/B co level)</t>
  </si>
  <si>
    <t>(Being consolidation adjustment for reversal of provision for interco balances at</t>
  </si>
  <si>
    <t xml:space="preserve"> - Great Demand S/B</t>
  </si>
  <si>
    <t>Likas View S/B co level)</t>
  </si>
  <si>
    <t xml:space="preserve"> - Astrogold S/B</t>
  </si>
  <si>
    <t>investment in subsidiary and interco balances at Danau Kota Development S/B co level)</t>
  </si>
  <si>
    <t>Retained earnings b/f [(-30,030+9,622)x59.43%]@2.1625</t>
  </si>
  <si>
    <t>Investment in associate (59.56%)</t>
  </si>
  <si>
    <t>Minority Interest (B/S)</t>
  </si>
  <si>
    <t>Exchange equalisation reserves (27.15%*5,764,229)</t>
  </si>
  <si>
    <t>Investment in associate</t>
  </si>
  <si>
    <t>(to reinstate opening post-acq loss of IEC Ltd)</t>
  </si>
  <si>
    <t>Loss on Deemed disposal</t>
  </si>
  <si>
    <t>(being loss arising from reduction of shr of NTA in IEC)</t>
  </si>
  <si>
    <t>Operating Expenses</t>
  </si>
  <si>
    <t>Minority interest (P/L)</t>
  </si>
  <si>
    <t>Investment in associate (32.28%)</t>
  </si>
  <si>
    <t>(to consol the result of IEC prior to dilution and to account for subsequent</t>
  </si>
  <si>
    <t>reliasation and retention as associated company)</t>
  </si>
  <si>
    <t>B/S</t>
  </si>
  <si>
    <t>P/L - Exceptional items</t>
  </si>
  <si>
    <t xml:space="preserve">Revaluation reserves - AAPPJ </t>
  </si>
  <si>
    <t>Revaluation reserves - Kemajuan Sasa</t>
  </si>
  <si>
    <t>(Reinstate revaluation reserves at group level on the AAPPJ deficit)</t>
  </si>
  <si>
    <t xml:space="preserve">   Interco balances -Austral Amal Properties (P.J.) Sdn Bhd</t>
  </si>
  <si>
    <t xml:space="preserve">   Interco balances -Austral Amal Property Management Sdn Bhd</t>
  </si>
  <si>
    <t xml:space="preserve">   Interco balances - Austral Amal Trading Sdn Bhd</t>
  </si>
  <si>
    <t xml:space="preserve">   Interco balances - Austral Amalgamated Assets Sdn Bhd</t>
  </si>
  <si>
    <t xml:space="preserve">   Interco balances - Austral Amalgamated Capital Sdn Bhd</t>
  </si>
  <si>
    <t xml:space="preserve">   Interco balances - Austral Venture Sdn Bhd</t>
  </si>
  <si>
    <t xml:space="preserve">   Interco balances - Broadland Amalgamated Sdn Bhd</t>
  </si>
  <si>
    <t xml:space="preserve">   Interco balances - Broadland Construction Sdn Bhd</t>
  </si>
  <si>
    <t xml:space="preserve">   Interco balances - BZ Enterprise Sdn Bhd</t>
  </si>
  <si>
    <t xml:space="preserve">   Interco balances - Danau Kota Development Sdn Bhd</t>
  </si>
  <si>
    <t xml:space="preserve">   Interco balances - Duta Kota Sdn Bhd</t>
  </si>
  <si>
    <t xml:space="preserve">   Interco balances - Exquisite Properties Sdn Bhd</t>
  </si>
  <si>
    <t xml:space="preserve">   Interco balances - Iras Prima Sdn Bhd</t>
  </si>
  <si>
    <t xml:space="preserve">   Interco balances - Kazamas Corporation Sdn Bhd</t>
  </si>
  <si>
    <t xml:space="preserve">   Interco balances - Likas View Sdn Bhd</t>
  </si>
  <si>
    <t xml:space="preserve">   Interco balances - Mandarin Tours &amp; Travel Sdn Bhd</t>
  </si>
  <si>
    <t xml:space="preserve">   Interco balances - Broadland Amal (Myanmar) Sdn Bhd</t>
  </si>
  <si>
    <t xml:space="preserve">   Interco balances - Broadland Amal Capital Sdn Bhd</t>
  </si>
  <si>
    <t xml:space="preserve">   Interco balances - Broadland Amal  Equity Sdn Bhd</t>
  </si>
  <si>
    <t xml:space="preserve">   Interco balances - Profound Continental Sdn Bhd</t>
  </si>
  <si>
    <t>Profit before tax - Exceptional Item (Inv in subsid)</t>
  </si>
  <si>
    <t>Profit before tax - Exceptional Item (Interco balances)</t>
  </si>
  <si>
    <t>Investment in Associate Company - IEC</t>
  </si>
  <si>
    <t>PBT - Exceptional Item (Amount owing by associate co)</t>
  </si>
  <si>
    <t>- IEC at AAB co level)</t>
  </si>
  <si>
    <t>PBT</t>
  </si>
  <si>
    <t>interests and extraordinary items</t>
  </si>
  <si>
    <t>Less interest on borrowings</t>
  </si>
  <si>
    <t>Less depreciation and amortisation</t>
  </si>
  <si>
    <t>Exceptional items</t>
  </si>
  <si>
    <t>Likas View Sdn Bhd - Provision for Doubtful Debt Trade Debtors 6/98</t>
  </si>
  <si>
    <t>Likas View Sdn Bhd - Provision for Doubtful Debt Other Debtors 6/98</t>
  </si>
  <si>
    <t>Likas View Sdn Bhd - Pro-operating written off in 6/1998</t>
  </si>
  <si>
    <t>Great Demand Sdn Bhd (goodwill amor. 1998)</t>
  </si>
  <si>
    <t>Hanaku Insurance Brokers S/B (goodwill amor. 1998)</t>
  </si>
  <si>
    <t>Iras Prima S/B (goodwill amor. 1998)</t>
  </si>
  <si>
    <t>Astrogold S/B (goodwill amor. 1998)</t>
  </si>
  <si>
    <t>IEC Ltd (full prov. of balance 1998)</t>
  </si>
  <si>
    <t>Exquisite Properties S/B (goodwill amor. 1998)</t>
  </si>
  <si>
    <t>Malaya Cremics Industries S/B (prov. for goodwill 1998)</t>
  </si>
  <si>
    <t>City Finance Bhd (post acq. loss 1998)</t>
  </si>
  <si>
    <t>Broadland Amalgamated S/B (gain on transfer fr.sub)</t>
  </si>
  <si>
    <t>Amorisation of PDE - DKD -1999</t>
  </si>
  <si>
    <t>Exceptional Item</t>
  </si>
  <si>
    <t>Hanaku Insurance (capitalisation of bonus issue)</t>
  </si>
  <si>
    <t>IEC Ltd (intangibles written off 1998)</t>
  </si>
  <si>
    <t>Provision for loss on intercompany balances</t>
  </si>
  <si>
    <t>Provision for diminution in value of investment in subsidiaries</t>
  </si>
  <si>
    <t>Profound View S/B (MI share for 1998)</t>
  </si>
  <si>
    <t>Mandarin Tours &amp; Travel S/B (MI share for 1998)</t>
  </si>
  <si>
    <t>International Equities Corporation Ltd (MI Share for 1998)</t>
  </si>
  <si>
    <t>IEC Ltd (MI share for 1998)</t>
  </si>
  <si>
    <t>Hanaku Insurance Brokers S/B (payment of dividends 1998)</t>
  </si>
  <si>
    <t>AUSTRAL AMALGAMATED BERHAD</t>
  </si>
  <si>
    <t>International Equities Corporation Ltd</t>
  </si>
  <si>
    <t>GROUP BALANCE SHEET</t>
  </si>
  <si>
    <t>Except for item 9 below, there were no other changes in the composition of the company for the current financial year to date</t>
  </si>
  <si>
    <t xml:space="preserve">including business combination, acquisition or disposal of subsidiaries and long term investments, restructuring and </t>
  </si>
  <si>
    <t>and discontinuing operations .</t>
  </si>
  <si>
    <t>Group borrowings and debt securities as at 30th September 2000 are as follows:</t>
  </si>
  <si>
    <t>ANNOUNCEMENT TO KLSE  - 1ST QUARTER OF FINANCIAL YEAR ENDING 30TH JUNE 2001</t>
  </si>
  <si>
    <t>BALANCE SHEETS OF WHOLLY-OWNED SUBSIDIARIES (Active &amp; Semi Active)</t>
  </si>
  <si>
    <t>BALANCE SHEETS OF WHOLLY-OWNED SUBSIDIARIES (Dormant 1)</t>
  </si>
  <si>
    <t>BALANCE SHEETS OF WHOLLY-OWNED SUBSIDIARIES (Dormant 2)</t>
  </si>
  <si>
    <t>BALANCE SHEETS OF PARTLY-OWNED SUBSIDIARIES</t>
  </si>
  <si>
    <t>Austral Amalgamated Capital Sdn Bhd</t>
  </si>
  <si>
    <t xml:space="preserve">Profit before tax </t>
  </si>
  <si>
    <t>A81</t>
  </si>
  <si>
    <t>(Being adjustment for writeback of provision for interco.bt AAC &amp; Austral Leasing S/B)</t>
  </si>
  <si>
    <t>Writeback of provision (Austral Amalgamated Capital S/B)</t>
  </si>
  <si>
    <t>SUBSIDIARIES</t>
  </si>
  <si>
    <t>A. Amal</t>
  </si>
  <si>
    <t>Danau</t>
  </si>
  <si>
    <t>Austral</t>
  </si>
  <si>
    <t>Broadland</t>
  </si>
  <si>
    <t>Ratus</t>
  </si>
  <si>
    <t>Likas</t>
  </si>
  <si>
    <t>Hanaku</t>
  </si>
  <si>
    <t>Total of</t>
  </si>
  <si>
    <t>Astrogold</t>
  </si>
  <si>
    <t>A. Amal.</t>
  </si>
  <si>
    <t>Duta</t>
  </si>
  <si>
    <t>Golden</t>
  </si>
  <si>
    <t>Great</t>
  </si>
  <si>
    <t>Iras</t>
  </si>
  <si>
    <t>Kazamas</t>
  </si>
  <si>
    <t>Profound</t>
  </si>
  <si>
    <t>Total</t>
  </si>
  <si>
    <t>Exquisite</t>
  </si>
  <si>
    <t>Kemajuan</t>
  </si>
  <si>
    <t>Mandarin</t>
  </si>
  <si>
    <t>Dec 99</t>
  </si>
  <si>
    <t>June 99</t>
  </si>
  <si>
    <t>OTHER INVESTMENTS</t>
  </si>
  <si>
    <t>INVESTMENTS PROPERTIES</t>
  </si>
  <si>
    <t>100% OWNED</t>
  </si>
  <si>
    <t>P/OWNED</t>
  </si>
  <si>
    <t xml:space="preserve"> TOTAL</t>
  </si>
  <si>
    <t>DEBIT</t>
  </si>
  <si>
    <t>CREDIT</t>
  </si>
  <si>
    <t>FINAL</t>
  </si>
  <si>
    <t>Prop. (PJ)</t>
  </si>
  <si>
    <t>Properties</t>
  </si>
  <si>
    <t>Kota Dev.</t>
  </si>
  <si>
    <t>Trading</t>
  </si>
  <si>
    <t>Venture</t>
  </si>
  <si>
    <t>Construction</t>
  </si>
  <si>
    <t>Bistari</t>
  </si>
  <si>
    <t>View</t>
  </si>
  <si>
    <t>Leasing</t>
  </si>
  <si>
    <t>Insurance</t>
  </si>
  <si>
    <t>TOTAL</t>
  </si>
  <si>
    <t>Prop. Mgt.</t>
  </si>
  <si>
    <t>Assets</t>
  </si>
  <si>
    <t>Capital</t>
  </si>
  <si>
    <t>Hotel Mgt.</t>
  </si>
  <si>
    <t>Hotel &amp; Res.</t>
  </si>
  <si>
    <t>International</t>
  </si>
  <si>
    <t>Overseas</t>
  </si>
  <si>
    <t>Kota</t>
  </si>
  <si>
    <t>Forum</t>
  </si>
  <si>
    <t>Demand</t>
  </si>
  <si>
    <t>Prima</t>
  </si>
  <si>
    <t>Corporation</t>
  </si>
  <si>
    <t>Continental</t>
  </si>
  <si>
    <t>:  Securities Services (Holdings) Sdn Bhd</t>
  </si>
  <si>
    <t>:  Ms. Jenny Lim Yew Heang</t>
  </si>
  <si>
    <t>:  Joint Company Secretary</t>
  </si>
  <si>
    <t>No rights, bonus, equity shares and / or any  form of debts securities were issued during the year.</t>
  </si>
  <si>
    <t>The Company has deferred an announcement on dividends pending the completion of the audited accounts.</t>
  </si>
  <si>
    <t>Schemes</t>
  </si>
  <si>
    <t>Way</t>
  </si>
  <si>
    <t>Excellence</t>
  </si>
  <si>
    <t>Amal. (Myr.)</t>
  </si>
  <si>
    <t>Equity</t>
  </si>
  <si>
    <t>Sasa</t>
  </si>
  <si>
    <t>Enterprise</t>
  </si>
</sst>
</file>

<file path=xl/styles.xml><?xml version="1.0" encoding="utf-8"?>
<styleSheet xmlns="http://schemas.openxmlformats.org/spreadsheetml/2006/main">
  <numFmts count="20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0.0000_)"/>
    <numFmt numFmtId="173" formatCode="0.00_)"/>
    <numFmt numFmtId="174" formatCode="#,##0.000_);\(#,##0.000\)"/>
    <numFmt numFmtId="175" formatCode="#,##0.0000_);\(#,##0.0000\)"/>
    <numFmt numFmtId="176" formatCode="#,##0.0_);\(#,##0.0\)"/>
    <numFmt numFmtId="177" formatCode="#,##0.0_);[Red]\(#,##0.0\)"/>
    <numFmt numFmtId="178" formatCode="#,##0.00000_);\(#,##0.00000\)"/>
    <numFmt numFmtId="179" formatCode="#,##0.000000_);\(#,##0.000000\)"/>
    <numFmt numFmtId="180" formatCode="#,##0.0000000_);\(#,##0.0000000\)"/>
    <numFmt numFmtId="181" formatCode="#,##0.000_);[Red]\(#,##0.0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;[Red]\(0.00\)"/>
    <numFmt numFmtId="185" formatCode="0_);[Red]\(0\)"/>
    <numFmt numFmtId="186" formatCode="#,##0.0000_);[Red]\(#,##0.0000\)"/>
    <numFmt numFmtId="187" formatCode="dd\-mmm\-yy_)"/>
    <numFmt numFmtId="188" formatCode="0.000_)"/>
    <numFmt numFmtId="189" formatCode="_(* #,##0.0_);_(* \(#,##0.0\);_(* &quot;-&quot;??_);_(@_)"/>
    <numFmt numFmtId="190" formatCode="_(* #,##0_);_(* \(#,##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0_)"/>
    <numFmt numFmtId="196" formatCode="_(* #,##0.000_);_(* \(#,##0.000\);_(* &quot;-&quot;??_);_(@_)"/>
    <numFmt numFmtId="197" formatCode="#,##0&quot;$&quot;_-;#,##0&quot;$&quot;\-"/>
    <numFmt numFmtId="198" formatCode="#,##0&quot;$&quot;_-;[Red]#,##0&quot;$&quot;\-"/>
    <numFmt numFmtId="199" formatCode="#,##0.00&quot;$&quot;_-;#,##0.00&quot;$&quot;\-"/>
    <numFmt numFmtId="200" formatCode="#,##0.00&quot;$&quot;_-;[Red]#,##0.00&quot;$&quot;\-"/>
    <numFmt numFmtId="201" formatCode="_-* #,##0&quot;$&quot;_-;_-* #,##0&quot;$&quot;\-;_-* &quot;-&quot;&quot;$&quot;_-;_-@_-"/>
    <numFmt numFmtId="202" formatCode="_-* #,##0_$_-;_-* #,##0_$\-;_-* &quot;-&quot;_$_-;_-@_-"/>
    <numFmt numFmtId="203" formatCode="_-* #,##0.00&quot;$&quot;_-;_-* #,##0.00&quot;$&quot;\-;_-* &quot;-&quot;??&quot;$&quot;_-;_-@_-"/>
    <numFmt numFmtId="204" formatCode="_-* #,##0.00_$_-;_-* #,##0.00_$\-;_-* &quot;-&quot;??_$_-;_-@_-"/>
    <numFmt numFmtId="205" formatCode="0.0"/>
    <numFmt numFmtId="206" formatCode="0.0%"/>
    <numFmt numFmtId="207" formatCode="000000#####"/>
    <numFmt numFmtId="208" formatCode="000000#####00"/>
    <numFmt numFmtId="209" formatCode="000000#####.00"/>
    <numFmt numFmtId="210" formatCode="000000#####_)"/>
    <numFmt numFmtId="211" formatCode="0.000000"/>
    <numFmt numFmtId="212" formatCode="&quot;$&quot;#,##0.0000"/>
    <numFmt numFmtId="213" formatCode="0.0000"/>
    <numFmt numFmtId="214" formatCode="0.000"/>
    <numFmt numFmtId="215" formatCode="_(&quot;$&quot;* #,##0.0_);_(&quot;$&quot;* \(#,##0.0\);_(&quot;$&quot;* &quot;-&quot;??_);_(@_)"/>
    <numFmt numFmtId="216" formatCode="_(&quot;$&quot;* #,##0_);_(&quot;$&quot;* \(#,##0\);_(&quot;$&quot;* &quot;-&quot;??_);_(@_)"/>
    <numFmt numFmtId="217" formatCode="_(* #,##0.0000_);_(* \(#,##0.0000\);_(* &quot;-&quot;??_);_(@_)"/>
    <numFmt numFmtId="218" formatCode="_(* #,##0.00000_);_(* \(#,##0.00000\);_(* &quot;-&quot;??_);_(@_)"/>
    <numFmt numFmtId="219" formatCode="_(* #,##0.000000_);_(* \(#,##0.000000\);_(* &quot;-&quot;??_);_(@_)"/>
    <numFmt numFmtId="220" formatCode="_(&quot;$&quot;* #,##0.000_);_(&quot;$&quot;* \(#,##0.000\);_(&quot;$&quot;* &quot;-&quot;??_);_(@_)"/>
    <numFmt numFmtId="221" formatCode="_(&quot;$&quot;* #,##0.0000_);_(&quot;$&quot;* \(#,##0.0000\);_(&quot;$&quot;* &quot;-&quot;??_);_(@_)"/>
    <numFmt numFmtId="222" formatCode="_(&quot;$&quot;* #,##0.00000_);_(&quot;$&quot;* \(#,##0.00000\);_(&quot;$&quot;* &quot;-&quot;??_);_(@_)"/>
    <numFmt numFmtId="223" formatCode="_(&quot;$&quot;* #,##0.000000_);_(&quot;$&quot;* \(#,##0.000000\);_(&quot;$&quot;* &quot;-&quot;??_);_(@_)"/>
    <numFmt numFmtId="224" formatCode="_(&quot;$&quot;* #,##0.0000000_);_(&quot;$&quot;* \(#,##0.0000000\);_(&quot;$&quot;* &quot;-&quot;??_);_(@_)"/>
    <numFmt numFmtId="225" formatCode="_(&quot;$&quot;* #,##0.00000000_);_(&quot;$&quot;* \(#,##0.00000000\);_(&quot;$&quot;* &quot;-&quot;??_);_(@_)"/>
    <numFmt numFmtId="226" formatCode="_(* #,##0.0000000_);_(* \(#,##0.0000000\);_(* &quot;-&quot;??_);_(@_)"/>
    <numFmt numFmtId="227" formatCode="_(* #,##0.00000000_);_(* \(#,##0.00000000\);_(* &quot;-&quot;??_);_(@_)"/>
    <numFmt numFmtId="228" formatCode="General_)"/>
    <numFmt numFmtId="229" formatCode="&quot;£&quot;#,##0;\-&quot;£&quot;#,##0"/>
    <numFmt numFmtId="230" formatCode="&quot;£&quot;#,##0;[Red]\-&quot;£&quot;#,##0"/>
    <numFmt numFmtId="231" formatCode="&quot;£&quot;#,##0.00;\-&quot;£&quot;#,##0.0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5" formatCode="&quot;£&quot;#,##0.00;\(&quot;£&quot;#,##0.00\)"/>
    <numFmt numFmtId="236" formatCode="&quot;£&quot;#,##0.0;\(&quot;£&quot;#,##0.0\)"/>
    <numFmt numFmtId="237" formatCode="&quot;£&quot;#,##0;\(&quot;£&quot;#,##0\)"/>
    <numFmt numFmtId="238" formatCode="&quot;$&quot;#,##0.0_);[Red]\(&quot;$&quot;#,##0.0\)"/>
    <numFmt numFmtId="239" formatCode="&quot;$&quot;#,##0.000_);[Red]\(&quot;$&quot;#,##0.000\)"/>
    <numFmt numFmtId="240" formatCode="&quot;$&quot;#,##0.0000_);[Red]\(&quot;$&quot;#,##0.0000\)"/>
    <numFmt numFmtId="241" formatCode="&quot;$&quot;#,##0.00000_);[Red]\(&quot;$&quot;#,##0.00000\)"/>
    <numFmt numFmtId="242" formatCode="&quot;$&quot;#,##0.000000_);[Red]\(&quot;$&quot;#,##0.000000\)"/>
    <numFmt numFmtId="243" formatCode="&quot;£&quot;#,##0.0;[Red]\-&quot;£&quot;#,##0.0"/>
    <numFmt numFmtId="244" formatCode="\$#,##0.00;\(\$#,##0.00\)"/>
    <numFmt numFmtId="245" formatCode="\$#,##0.0;\(\$#,##0.0\)"/>
    <numFmt numFmtId="246" formatCode="\$#,##0;\(\$#,##0\)"/>
    <numFmt numFmtId="247" formatCode="_-* #,##0.0_-;\-* #,##0.0_-;_-* &quot;-&quot;??_-;_-@_-"/>
    <numFmt numFmtId="248" formatCode="_-* #,##0_-;\-* #,##0_-;_-* &quot;-&quot;??_-;_-@_-"/>
    <numFmt numFmtId="249" formatCode="0.00000"/>
    <numFmt numFmtId="250" formatCode="&quot;£&quot;#,##0.000;\(&quot;£&quot;#,##0.000\)"/>
    <numFmt numFmtId="251" formatCode="&quot;£&quot;#,##0.0000;\(&quot;£&quot;#,##0.0000\)"/>
    <numFmt numFmtId="252" formatCode="_(* #,##0.0_);_(* \(#,##0.0\);_(* &quot;-&quot;_);_(@_)"/>
    <numFmt numFmtId="253" formatCode="&quot;$&quot;#,##0.0_);\(&quot;$&quot;#,##0.0\)"/>
    <numFmt numFmtId="254" formatCode="0.0000000"/>
    <numFmt numFmtId="255" formatCode="#,##0;[Red]\(\-#,##0\)"/>
    <numFmt numFmtId="256" formatCode="#,##0.0"/>
    <numFmt numFmtId="257" formatCode="#,##0.000"/>
    <numFmt numFmtId="258" formatCode="#,##0.0000"/>
    <numFmt numFmtId="259" formatCode="_-* #,##0.000_-;\-* #,##0.000_-;_-* &quot;-&quot;??_-;_-@_-"/>
    <numFmt numFmtId="260" formatCode="0.00000000"/>
    <numFmt numFmtId="261" formatCode="\$#,##0\K;\(\$#,##0\K\)"/>
    <numFmt numFmtId="262" formatCode="&quot;$&quot;#,##0.000_);\(&quot;$&quot;#,##0.000\)"/>
    <numFmt numFmtId="263" formatCode="&quot;$&quot;#,##0.0000_);\(&quot;$&quot;#,##0.0000\)"/>
    <numFmt numFmtId="264" formatCode="#,##0;\(#,##0\)"/>
    <numFmt numFmtId="265" formatCode="\$#,##0.000;\(\$#,##0.000\)"/>
    <numFmt numFmtId="266" formatCode="\$#,##0.0000;\(\$#,##0.0000\)"/>
    <numFmt numFmtId="267" formatCode="#,##0.0;\(#,##0.0\)"/>
    <numFmt numFmtId="268" formatCode="#,##0.00;\(#,##0.00\)"/>
    <numFmt numFmtId="269" formatCode="0.000%"/>
    <numFmt numFmtId="270" formatCode="\$#,##0.00000;\(\$#,##0.00000\)"/>
    <numFmt numFmtId="271" formatCode="_-* #,##0.0000_-;\-* #,##0.0000_-;_-* &quot;-&quot;??_-;_-@_-"/>
    <numFmt numFmtId="272" formatCode="_-* #,##0.00000_-;\-* #,##0.00000_-;_-* &quot;-&quot;??_-;_-@_-"/>
    <numFmt numFmtId="273" formatCode="_-* #,##0.000000_-;\-* #,##0.000000_-;_-* &quot;-&quot;??_-;_-@_-"/>
    <numFmt numFmtId="274" formatCode="_-* #,##0.0000000_-;\-* #,##0.0000000_-;_-* &quot;-&quot;??_-;_-@_-"/>
    <numFmt numFmtId="275" formatCode="_-* #,##0.00000000_-;\-* #,##0.00000000_-;_-* &quot;-&quot;??_-;_-@_-"/>
    <numFmt numFmtId="276" formatCode="_-* #,##0.000000000_-;\-* #,##0.000000000_-;_-* &quot;-&quot;??_-;_-@_-"/>
    <numFmt numFmtId="277" formatCode="_-* #,##0.0000000000_-;\-* #,##0.0000000000_-;_-* &quot;-&quot;??_-;_-@_-"/>
    <numFmt numFmtId="278" formatCode="_-* #,##0.00000000000_-;\-* #,##0.00000000000_-;_-* &quot;-&quot;??_-;_-@_-"/>
    <numFmt numFmtId="279" formatCode="\c#,##0.0000;\(\$#,##0.0000\)"/>
    <numFmt numFmtId="280" formatCode="\$#,###.00;\(\$#,###.00\)"/>
    <numFmt numFmtId="281" formatCode="&quot;£&quot;#,###.00;\(&quot;£&quot;#,###.00\)"/>
    <numFmt numFmtId="282" formatCode="&quot;$&quot;#,##0&quot;K&quot;;\(&quot;$&quot;#,##0\)&quot;K&quot;"/>
    <numFmt numFmtId="283" formatCode="&quot;S&quot;\ #,##0;\-&quot;S&quot;\ #,##0"/>
    <numFmt numFmtId="284" formatCode="&quot;S&quot;\ #,##0;[Red]\-&quot;S&quot;\ #,##0"/>
    <numFmt numFmtId="285" formatCode="&quot;S&quot;\ #,##0.00;\-&quot;S&quot;\ #,##0.00"/>
    <numFmt numFmtId="286" formatCode="&quot;S&quot;\ #,##0.00;[Red]\-&quot;S&quot;\ #,##0.00"/>
    <numFmt numFmtId="287" formatCode="_-&quot;S&quot;\ * #,##0_-;\-&quot;S&quot;\ * #,##0_-;_-&quot;S&quot;\ * &quot;-&quot;_-;_-@_-"/>
    <numFmt numFmtId="288" formatCode="_-&quot;S&quot;\ * #,##0.00_-;\-&quot;S&quot;\ * #,##0.00_-;_-&quot;S&quot;\ * &quot;-&quot;??_-;_-@_-"/>
    <numFmt numFmtId="289" formatCode="#,##0;[Red]\(#,##0\)"/>
    <numFmt numFmtId="290" formatCode="#,##0.0;[Red]\(#,##0.0\)"/>
    <numFmt numFmtId="291" formatCode="0.0%;[Red]\(0.0%\)"/>
    <numFmt numFmtId="292" formatCode="0.0%;\(0.0%\)"/>
    <numFmt numFmtId="293" formatCode="&quot;SFr.&quot;#,##0;&quot;SFr.&quot;\-#,##0"/>
    <numFmt numFmtId="294" formatCode="&quot;SFr.&quot;#,##0;[Red]&quot;SFr.&quot;\-#,##0"/>
    <numFmt numFmtId="295" formatCode="&quot;SFr.&quot;#,##0.00;&quot;SFr.&quot;\-#,##0.00"/>
    <numFmt numFmtId="296" formatCode="&quot;SFr.&quot;#,##0.00;[Red]&quot;SFr.&quot;\-#,##0.00"/>
    <numFmt numFmtId="297" formatCode="_ &quot;SFr.&quot;* #,##0_ ;_ &quot;SFr.&quot;* \-#,##0_ ;_ &quot;SFr.&quot;* &quot;-&quot;_ ;_ @_ "/>
    <numFmt numFmtId="298" formatCode="_ * #,##0_ ;_ * \-#,##0_ ;_ * &quot;-&quot;_ ;_ @_ "/>
    <numFmt numFmtId="299" formatCode="_ &quot;SFr.&quot;* #,##0.00_ ;_ &quot;SFr.&quot;* \-#,##0.00_ ;_ &quot;SFr.&quot;* &quot;-&quot;??_ ;_ @_ "/>
    <numFmt numFmtId="300" formatCode="_ * #,##0.00_ ;_ * \-#,##0.00_ ;_ * &quot;-&quot;??_ ;_ @_ "/>
    <numFmt numFmtId="301" formatCode="#,##0.00;[Red]\(#,##0.00\)"/>
    <numFmt numFmtId="302" formatCode="#,##0.000;[Red]\(#,##0.000\)"/>
    <numFmt numFmtId="303" formatCode="#,##0.0000;[Red]\(#,##0.0000\)"/>
    <numFmt numFmtId="304" formatCode="mmmm\-yy"/>
    <numFmt numFmtId="305" formatCode="m/d"/>
    <numFmt numFmtId="306" formatCode="#,##0&quot;£&quot;_);\(#,##0&quot;£&quot;\)"/>
    <numFmt numFmtId="307" formatCode="#,##0&quot;£&quot;_);[Red]\(#,##0&quot;£&quot;\)"/>
    <numFmt numFmtId="308" formatCode="#,##0.00&quot;£&quot;_);\(#,##0.00&quot;£&quot;\)"/>
    <numFmt numFmtId="309" formatCode="#,##0.00&quot;£&quot;_);[Red]\(#,##0.00&quot;£&quot;\)"/>
    <numFmt numFmtId="310" formatCode="_ * #,##0_)&quot;£&quot;_ ;_ * \(#,##0\)&quot;£&quot;_ ;_ * &quot;-&quot;_)&quot;£&quot;_ ;_ @_ "/>
    <numFmt numFmtId="311" formatCode="_ * #,##0_)_£_ ;_ * \(#,##0\)_£_ ;_ * &quot;-&quot;_)_£_ ;_ @_ "/>
    <numFmt numFmtId="312" formatCode="_ * #,##0.00_)&quot;£&quot;_ ;_ * \(#,##0.00\)&quot;£&quot;_ ;_ * &quot;-&quot;??_)&quot;£&quot;_ ;_ @_ "/>
    <numFmt numFmtId="313" formatCode="_ * #,##0.00_)_£_ ;_ * \(#,##0.00\)_£_ ;_ * &quot;-&quot;??_)_£_ ;_ @_ "/>
    <numFmt numFmtId="314" formatCode="#,##0\ &quot;F&quot;;\-#,##0\ &quot;F&quot;"/>
    <numFmt numFmtId="315" formatCode="#,##0\ &quot;F&quot;;[Red]\-#,##0\ &quot;F&quot;"/>
    <numFmt numFmtId="316" formatCode="#,##0.00\ &quot;F&quot;;\-#,##0.00\ &quot;F&quot;"/>
    <numFmt numFmtId="317" formatCode="#,##0.00\ &quot;F&quot;;[Red]\-#,##0.00\ &quot;F&quot;"/>
    <numFmt numFmtId="318" formatCode="_-* #,##0\ &quot;F&quot;_-;\-* #,##0\ &quot;F&quot;_-;_-* &quot;-&quot;\ &quot;F&quot;_-;_-@_-"/>
    <numFmt numFmtId="319" formatCode="_-* #,##0\ _F_-;\-* #,##0\ _F_-;_-* &quot;-&quot;\ _F_-;_-@_-"/>
    <numFmt numFmtId="320" formatCode="_-* #,##0.00\ &quot;F&quot;_-;\-* #,##0.00\ &quot;F&quot;_-;_-* &quot;-&quot;??\ &quot;F&quot;_-;_-@_-"/>
    <numFmt numFmtId="321" formatCode="_-* #,##0.00\ _F_-;\-* #,##0.00\ _F_-;_-* &quot;-&quot;??\ _F_-;_-@_-"/>
    <numFmt numFmtId="322" formatCode="d/m/yy\ h:mm"/>
    <numFmt numFmtId="323" formatCode="#,##0&quot; F&quot;_);\(#,##0&quot; F&quot;\)"/>
    <numFmt numFmtId="324" formatCode="#,##0&quot; F&quot;_);[Red]\(#,##0&quot; F&quot;\)"/>
    <numFmt numFmtId="325" formatCode="#,##0.00&quot; F&quot;_);\(#,##0.00&quot; F&quot;\)"/>
    <numFmt numFmtId="326" formatCode="#,##0.00&quot; F&quot;_);[Red]\(#,##0.00&quot; F&quot;\)"/>
    <numFmt numFmtId="327" formatCode="#,##0&quot; $&quot;;\-#,##0&quot; $&quot;"/>
    <numFmt numFmtId="328" formatCode="#,##0&quot; $&quot;;[Red]\-#,##0&quot; $&quot;"/>
    <numFmt numFmtId="329" formatCode="#,##0.00&quot; $&quot;;\-#,##0.00&quot; $&quot;"/>
    <numFmt numFmtId="330" formatCode="#,##0.00&quot; $&quot;;[Red]\-#,##0.00&quot; $&quot;"/>
    <numFmt numFmtId="331" formatCode="d\.m\.yy"/>
    <numFmt numFmtId="332" formatCode="d\.mmm\.yy"/>
    <numFmt numFmtId="333" formatCode="d\.mmm"/>
    <numFmt numFmtId="334" formatCode="mmm\.yy"/>
    <numFmt numFmtId="335" formatCode="d\.m\.yy\ h:mm"/>
    <numFmt numFmtId="336" formatCode="0&quot;  &quot;"/>
    <numFmt numFmtId="337" formatCode="0.00&quot;  &quot;"/>
    <numFmt numFmtId="338" formatCode="0.0&quot;  &quot;"/>
    <numFmt numFmtId="339" formatCode="0.000&quot;  &quot;"/>
    <numFmt numFmtId="340" formatCode="0.0000&quot;  &quot;"/>
    <numFmt numFmtId="341" formatCode="0.00000&quot;  &quot;"/>
    <numFmt numFmtId="342" formatCode="m/d\ "/>
    <numFmt numFmtId="343" formatCode="0.0_)"/>
    <numFmt numFmtId="344" formatCode="&quot;$&quot;#,##0\ ;\(&quot;$&quot;#,##0\)"/>
    <numFmt numFmtId="345" formatCode="&quot;$&quot;#,##0\ ;[Red]\(&quot;$&quot;#,##0\)"/>
    <numFmt numFmtId="346" formatCode="&quot;$&quot;#,##0.00\ ;\(&quot;$&quot;#,##0.00\)"/>
    <numFmt numFmtId="347" formatCode="&quot;$&quot;#,##0.00\ ;[Red]\(&quot;$&quot;#,##0.00\)"/>
    <numFmt numFmtId="348" formatCode="&quot;$&quot;#,##0.0\ ;\(&quot;$&quot;#,##0.0\)"/>
    <numFmt numFmtId="349" formatCode="&quot;USD&quot;#,##0_);\(&quot;USD&quot;#,##0\)"/>
    <numFmt numFmtId="350" formatCode="&quot;USD&quot;#,##0_);[Red]\(&quot;USD&quot;#,##0\)"/>
    <numFmt numFmtId="351" formatCode="&quot;USD&quot;#,##0.00_);\(&quot;USD&quot;#,##0.00\)"/>
    <numFmt numFmtId="352" formatCode="&quot;USD&quot;#,##0.00_);[Red]\(&quot;USD&quot;#,##0.00\)"/>
    <numFmt numFmtId="353" formatCode="_(&quot;USD&quot;* #,##0_);_(&quot;USD&quot;* \(#,##0\);_(&quot;USD&quot;* &quot;-&quot;_);_(@_)"/>
    <numFmt numFmtId="354" formatCode="_(&quot;USD&quot;* #,##0.00_);_(&quot;USD&quot;* \(#,##0.00\);_(&quot;USD&quot;* &quot;-&quot;??_);_(@_)"/>
    <numFmt numFmtId="355" formatCode="#,##0.00000000_);\(#,##0.00000000\)"/>
    <numFmt numFmtId="356" formatCode="_(* #,##0.0_);_(* \(#,##0.0\);_(* &quot;-&quot;?_);_(@_)"/>
    <numFmt numFmtId="357" formatCode="_(* #,##0.000000000_);_(* \(#,##0.000000000\);_(* &quot;-&quot;??_);_(@_)"/>
    <numFmt numFmtId="358" formatCode="_(* #,##0.0000000000_);_(* \(#,##0.0000000000\);_(* &quot;-&quot;??_);_(@_)"/>
    <numFmt numFmtId="359" formatCode="&quot;$&quot;#,##0;&quot;$&quot;\-#,##0"/>
    <numFmt numFmtId="360" formatCode="&quot;$&quot;#,##0;[Red]&quot;$&quot;\-#,##0"/>
  </numFmts>
  <fonts count="37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0"/>
    </font>
    <font>
      <sz val="10"/>
      <name val="Times New Roman"/>
      <family val="0"/>
    </font>
    <font>
      <sz val="8"/>
      <name val="Arial Narrow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0"/>
    </font>
    <font>
      <sz val="8"/>
      <name val="Arial"/>
      <family val="0"/>
    </font>
    <font>
      <sz val="12"/>
      <name val="Arial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sz val="8"/>
      <name val="Helv"/>
      <family val="0"/>
    </font>
    <font>
      <sz val="9"/>
      <name val="Arial Narrow"/>
      <family val="2"/>
    </font>
    <font>
      <sz val="10"/>
      <color indexed="12"/>
      <name val="Arial Narrow"/>
      <family val="2"/>
    </font>
    <font>
      <sz val="8"/>
      <name val="Tahoma"/>
      <family val="0"/>
    </font>
    <font>
      <sz val="12"/>
      <name val="Arial Narrow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29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19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31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98" fontId="0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64" fontId="8" fillId="0" borderId="0">
      <alignment/>
      <protection/>
    </xf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21" fontId="0" fillId="0" borderId="0" applyFont="0" applyFill="0" applyBorder="0" applyAlignment="0" applyProtection="0"/>
    <xf numFmtId="4" fontId="16" fillId="0" borderId="0" applyProtection="0">
      <alignment/>
    </xf>
    <xf numFmtId="4" fontId="16" fillId="0" borderId="0" applyProtection="0">
      <alignment/>
    </xf>
    <xf numFmtId="321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4" fontId="16" fillId="0" borderId="0" applyProtection="0">
      <alignment/>
    </xf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3" fontId="8" fillId="0" borderId="0" applyFont="0" applyFill="0" applyBorder="0" applyAlignment="0" applyProtection="0"/>
    <xf numFmtId="23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3" fontId="8" fillId="0" borderId="0" applyFont="0" applyFill="0" applyBorder="0" applyAlignment="0" applyProtection="0"/>
    <xf numFmtId="297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31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8" fillId="0" borderId="0" applyFont="0" applyFill="0" applyBorder="0" applyAlignment="0" applyProtection="0"/>
    <xf numFmtId="35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233" fontId="8" fillId="0" borderId="0" applyFont="0" applyFill="0" applyBorder="0" applyAlignment="0" applyProtection="0"/>
    <xf numFmtId="23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7" fontId="8" fillId="0" borderId="0" applyProtection="0">
      <alignment/>
    </xf>
    <xf numFmtId="23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234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99" fontId="0" fillId="0" borderId="0" applyFont="0" applyFill="0" applyBorder="0" applyAlignment="0" applyProtection="0"/>
    <xf numFmtId="200" fontId="1" fillId="0" borderId="0" applyFont="0" applyFill="0" applyBorder="0" applyAlignment="0" applyProtection="0"/>
    <xf numFmtId="320" fontId="0" fillId="0" borderId="0" applyFont="0" applyFill="0" applyBorder="0" applyAlignment="0" applyProtection="0"/>
    <xf numFmtId="346" fontId="16" fillId="0" borderId="0" applyProtection="0">
      <alignment/>
    </xf>
    <xf numFmtId="346" fontId="16" fillId="0" borderId="0" applyProtection="0">
      <alignment/>
    </xf>
    <xf numFmtId="320" fontId="8" fillId="0" borderId="0" applyFont="0" applyFill="0" applyBorder="0" applyAlignment="0" applyProtection="0"/>
    <xf numFmtId="237" fontId="8" fillId="0" borderId="0" applyProtection="0">
      <alignment/>
    </xf>
    <xf numFmtId="330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35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4" fontId="15" fillId="0" borderId="0" applyFont="0" applyFill="0" applyBorder="0" applyAlignment="0" applyProtection="0"/>
    <xf numFmtId="234" fontId="8" fillId="0" borderId="0" applyFont="0" applyFill="0" applyBorder="0" applyAlignment="0" applyProtection="0"/>
    <xf numFmtId="237" fontId="8" fillId="0" borderId="0" applyProtection="0">
      <alignment/>
    </xf>
    <xf numFmtId="203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4" fontId="8" fillId="0" borderId="0" applyFont="0" applyFill="0" applyBorder="0" applyAlignment="0" applyProtection="0"/>
    <xf numFmtId="203" fontId="0" fillId="0" borderId="0" applyFont="0" applyFill="0" applyBorder="0" applyAlignment="0" applyProtection="0"/>
    <xf numFmtId="234" fontId="8" fillId="0" borderId="0" applyFont="0" applyFill="0" applyBorder="0" applyAlignment="0" applyProtection="0"/>
    <xf numFmtId="346" fontId="16" fillId="0" borderId="0" applyProtection="0">
      <alignment/>
    </xf>
    <xf numFmtId="234" fontId="0" fillId="0" borderId="0" applyFont="0" applyFill="0" applyBorder="0" applyAlignment="0" applyProtection="0"/>
    <xf numFmtId="244" fontId="8" fillId="0" borderId="0">
      <alignment/>
      <protection/>
    </xf>
    <xf numFmtId="0" fontId="16" fillId="0" borderId="0" applyProtection="0">
      <alignment/>
    </xf>
    <xf numFmtId="0" fontId="16" fillId="0" borderId="0" applyProtection="0">
      <alignment/>
    </xf>
    <xf numFmtId="246" fontId="8" fillId="0" borderId="0">
      <alignment/>
      <protection/>
    </xf>
    <xf numFmtId="2" fontId="16" fillId="0" borderId="0" applyProtection="0">
      <alignment/>
    </xf>
    <xf numFmtId="2" fontId="16" fillId="0" borderId="0" applyProtection="0">
      <alignment/>
    </xf>
    <xf numFmtId="0" fontId="18" fillId="0" borderId="0" applyProtection="0">
      <alignment/>
    </xf>
    <xf numFmtId="0" fontId="19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9" fontId="2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9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39" fontId="2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0" fontId="16" fillId="0" borderId="0" applyProtection="0">
      <alignment/>
    </xf>
    <xf numFmtId="10" fontId="16" fillId="0" borderId="0" applyProtection="0">
      <alignment/>
    </xf>
    <xf numFmtId="0" fontId="16" fillId="0" borderId="1" applyProtection="0">
      <alignment/>
    </xf>
    <xf numFmtId="0" fontId="16" fillId="0" borderId="1" applyProtection="0">
      <alignment/>
    </xf>
  </cellStyleXfs>
  <cellXfs count="734">
    <xf numFmtId="0" fontId="0" fillId="0" borderId="0" xfId="0" applyAlignment="1">
      <alignment/>
    </xf>
    <xf numFmtId="0" fontId="4" fillId="0" borderId="0" xfId="60" applyNumberFormat="1" applyFont="1" applyAlignment="1">
      <alignment/>
    </xf>
    <xf numFmtId="0" fontId="5" fillId="0" borderId="0" xfId="60" applyNumberFormat="1" applyFont="1" applyAlignment="1" applyProtection="1">
      <alignment/>
      <protection/>
    </xf>
    <xf numFmtId="0" fontId="6" fillId="0" borderId="0" xfId="60" applyNumberFormat="1" applyFont="1" applyBorder="1" applyAlignment="1">
      <alignment/>
    </xf>
    <xf numFmtId="0" fontId="4" fillId="0" borderId="0" xfId="202" applyNumberFormat="1" applyFont="1" applyAlignment="1">
      <alignment/>
      <protection/>
    </xf>
    <xf numFmtId="0" fontId="4" fillId="0" borderId="0" xfId="202" applyNumberFormat="1" applyFont="1" applyBorder="1" applyAlignment="1">
      <alignment/>
      <protection/>
    </xf>
    <xf numFmtId="0" fontId="5" fillId="0" borderId="0" xfId="60" applyNumberFormat="1" applyFont="1" applyAlignment="1" applyProtection="1" quotePrefix="1">
      <alignment/>
      <protection/>
    </xf>
    <xf numFmtId="0" fontId="6" fillId="0" borderId="0" xfId="60" applyNumberFormat="1" applyFont="1" applyBorder="1" applyAlignment="1" applyProtection="1">
      <alignment/>
      <protection/>
    </xf>
    <xf numFmtId="0" fontId="4" fillId="0" borderId="0" xfId="60" applyNumberFormat="1" applyFont="1" applyAlignment="1" applyProtection="1">
      <alignment/>
      <protection/>
    </xf>
    <xf numFmtId="0" fontId="6" fillId="0" borderId="2" xfId="60" applyNumberFormat="1" applyFont="1" applyBorder="1" applyAlignment="1">
      <alignment/>
    </xf>
    <xf numFmtId="0" fontId="6" fillId="0" borderId="3" xfId="60" applyNumberFormat="1" applyFont="1" applyBorder="1" applyAlignment="1" applyProtection="1">
      <alignment horizontal="center"/>
      <protection/>
    </xf>
    <xf numFmtId="0" fontId="6" fillId="0" borderId="3" xfId="60" applyNumberFormat="1" applyFont="1" applyBorder="1" applyAlignment="1">
      <alignment horizontal="center"/>
    </xf>
    <xf numFmtId="0" fontId="6" fillId="0" borderId="0" xfId="60" applyNumberFormat="1" applyFont="1" applyAlignment="1">
      <alignment/>
    </xf>
    <xf numFmtId="37" fontId="7" fillId="0" borderId="2" xfId="202" applyFont="1" applyBorder="1" applyAlignment="1" applyProtection="1">
      <alignment horizontal="center" vertical="center"/>
      <protection/>
    </xf>
    <xf numFmtId="37" fontId="7" fillId="0" borderId="3" xfId="202" applyFont="1" applyBorder="1" applyAlignment="1">
      <alignment horizontal="center" vertical="center"/>
      <protection/>
    </xf>
    <xf numFmtId="0" fontId="6" fillId="0" borderId="0" xfId="60" applyNumberFormat="1" applyFont="1" applyAlignment="1" applyProtection="1">
      <alignment/>
      <protection/>
    </xf>
    <xf numFmtId="37" fontId="7" fillId="0" borderId="2" xfId="202" applyFont="1" applyBorder="1" applyAlignment="1">
      <alignment horizontal="center" vertical="center"/>
      <protection/>
    </xf>
    <xf numFmtId="37" fontId="7" fillId="0" borderId="3" xfId="202" applyFont="1" applyBorder="1" applyAlignment="1" applyProtection="1">
      <alignment horizontal="centerContinuous" vertical="center"/>
      <protection/>
    </xf>
    <xf numFmtId="0" fontId="6" fillId="0" borderId="0" xfId="202" applyNumberFormat="1" applyFont="1" applyBorder="1" applyAlignment="1">
      <alignment/>
      <protection/>
    </xf>
    <xf numFmtId="0" fontId="6" fillId="0" borderId="4" xfId="60" applyNumberFormat="1" applyFont="1" applyBorder="1" applyAlignment="1">
      <alignment/>
    </xf>
    <xf numFmtId="0" fontId="6" fillId="0" borderId="5" xfId="60" applyNumberFormat="1" applyFont="1" applyBorder="1" applyAlignment="1" applyProtection="1">
      <alignment horizontal="center"/>
      <protection/>
    </xf>
    <xf numFmtId="0" fontId="6" fillId="0" borderId="5" xfId="60" applyNumberFormat="1" applyFont="1" applyBorder="1" applyAlignment="1" applyProtection="1" quotePrefix="1">
      <alignment horizontal="center"/>
      <protection/>
    </xf>
    <xf numFmtId="37" fontId="7" fillId="0" borderId="4" xfId="202" applyFont="1" applyBorder="1" applyAlignment="1" applyProtection="1">
      <alignment horizontal="center" vertical="center"/>
      <protection/>
    </xf>
    <xf numFmtId="37" fontId="7" fillId="0" borderId="5" xfId="202" applyFont="1" applyBorder="1" applyAlignment="1" applyProtection="1">
      <alignment horizontal="center" vertical="center"/>
      <protection/>
    </xf>
    <xf numFmtId="37" fontId="7" fillId="0" borderId="5" xfId="202" applyFont="1" applyBorder="1" applyAlignment="1" applyProtection="1" quotePrefix="1">
      <alignment horizontal="center" vertical="center"/>
      <protection/>
    </xf>
    <xf numFmtId="38" fontId="6" fillId="0" borderId="6" xfId="60" applyNumberFormat="1" applyFont="1" applyBorder="1" applyAlignment="1" applyProtection="1">
      <alignment/>
      <protection/>
    </xf>
    <xf numFmtId="38" fontId="4" fillId="0" borderId="7" xfId="60" applyNumberFormat="1" applyFont="1" applyBorder="1" applyAlignment="1" applyProtection="1">
      <alignment/>
      <protection/>
    </xf>
    <xf numFmtId="38" fontId="4" fillId="0" borderId="0" xfId="60" applyNumberFormat="1" applyFont="1" applyAlignment="1">
      <alignment/>
    </xf>
    <xf numFmtId="38" fontId="4" fillId="0" borderId="0" xfId="60" applyNumberFormat="1" applyFont="1" applyAlignment="1" applyProtection="1">
      <alignment/>
      <protection/>
    </xf>
    <xf numFmtId="38" fontId="4" fillId="0" borderId="6" xfId="60" applyNumberFormat="1" applyFont="1" applyBorder="1" applyAlignment="1" applyProtection="1">
      <alignment/>
      <protection/>
    </xf>
    <xf numFmtId="38" fontId="4" fillId="0" borderId="7" xfId="60" applyNumberFormat="1" applyFont="1" applyBorder="1" applyAlignment="1">
      <alignment/>
    </xf>
    <xf numFmtId="38" fontId="4" fillId="0" borderId="5" xfId="60" applyNumberFormat="1" applyFont="1" applyBorder="1" applyAlignment="1" applyProtection="1">
      <alignment/>
      <protection/>
    </xf>
    <xf numFmtId="38" fontId="4" fillId="0" borderId="6" xfId="202" applyNumberFormat="1" applyFont="1" applyBorder="1" applyAlignment="1">
      <alignment/>
      <protection/>
    </xf>
    <xf numFmtId="38" fontId="4" fillId="0" borderId="3" xfId="60" applyNumberFormat="1" applyFont="1" applyBorder="1" applyAlignment="1" applyProtection="1">
      <alignment/>
      <protection/>
    </xf>
    <xf numFmtId="38" fontId="4" fillId="0" borderId="4" xfId="60" applyNumberFormat="1" applyFont="1" applyBorder="1" applyAlignment="1" applyProtection="1">
      <alignment/>
      <protection/>
    </xf>
    <xf numFmtId="38" fontId="4" fillId="0" borderId="6" xfId="60" applyNumberFormat="1" applyFont="1" applyBorder="1" applyAlignment="1">
      <alignment/>
    </xf>
    <xf numFmtId="38" fontId="4" fillId="0" borderId="8" xfId="60" applyNumberFormat="1" applyFont="1" applyBorder="1" applyAlignment="1" applyProtection="1">
      <alignment/>
      <protection/>
    </xf>
    <xf numFmtId="0" fontId="4" fillId="0" borderId="0" xfId="202" applyNumberFormat="1" applyFont="1" applyBorder="1" applyAlignment="1" applyProtection="1">
      <alignment/>
      <protection/>
    </xf>
    <xf numFmtId="38" fontId="4" fillId="0" borderId="7" xfId="202" applyNumberFormat="1" applyFont="1" applyBorder="1" applyAlignment="1">
      <alignment/>
      <protection/>
    </xf>
    <xf numFmtId="38" fontId="4" fillId="0" borderId="9" xfId="60" applyNumberFormat="1" applyFont="1" applyBorder="1" applyAlignment="1" applyProtection="1">
      <alignment/>
      <protection/>
    </xf>
    <xf numFmtId="38" fontId="4" fillId="0" borderId="5" xfId="60" applyNumberFormat="1" applyFont="1" applyBorder="1" applyAlignment="1" applyProtection="1" quotePrefix="1">
      <alignment/>
      <protection/>
    </xf>
    <xf numFmtId="38" fontId="4" fillId="0" borderId="0" xfId="60" applyNumberFormat="1" applyFont="1" applyBorder="1" applyAlignment="1" applyProtection="1">
      <alignment/>
      <protection/>
    </xf>
    <xf numFmtId="38" fontId="4" fillId="0" borderId="10" xfId="60" applyNumberFormat="1" applyFont="1" applyBorder="1" applyAlignment="1">
      <alignment/>
    </xf>
    <xf numFmtId="38" fontId="4" fillId="0" borderId="11" xfId="60" applyNumberFormat="1" applyFont="1" applyBorder="1" applyAlignment="1" applyProtection="1">
      <alignment/>
      <protection/>
    </xf>
    <xf numFmtId="40" fontId="4" fillId="0" borderId="0" xfId="60" applyNumberFormat="1" applyFont="1" applyAlignment="1">
      <alignment/>
    </xf>
    <xf numFmtId="40" fontId="4" fillId="0" borderId="0" xfId="60" applyNumberFormat="1" applyFont="1" applyAlignment="1" applyProtection="1">
      <alignment/>
      <protection/>
    </xf>
    <xf numFmtId="186" fontId="4" fillId="0" borderId="0" xfId="60" applyNumberFormat="1" applyFont="1" applyAlignment="1" applyProtection="1">
      <alignment/>
      <protection/>
    </xf>
    <xf numFmtId="38" fontId="3" fillId="0" borderId="0" xfId="60" applyNumberFormat="1" applyFont="1" applyAlignment="1" applyProtection="1">
      <alignment/>
      <protection/>
    </xf>
    <xf numFmtId="38" fontId="2" fillId="0" borderId="0" xfId="202" applyNumberFormat="1" applyAlignment="1">
      <alignment/>
      <protection/>
    </xf>
    <xf numFmtId="37" fontId="2" fillId="0" borderId="0" xfId="202">
      <alignment/>
      <protection/>
    </xf>
    <xf numFmtId="38" fontId="3" fillId="0" borderId="0" xfId="60" applyNumberFormat="1" applyFont="1" applyAlignment="1" applyProtection="1" quotePrefix="1">
      <alignment/>
      <protection/>
    </xf>
    <xf numFmtId="38" fontId="8" fillId="0" borderId="0" xfId="60" applyNumberFormat="1" applyFont="1" applyAlignment="1" applyProtection="1">
      <alignment/>
      <protection/>
    </xf>
    <xf numFmtId="38" fontId="8" fillId="0" borderId="12" xfId="60" applyNumberFormat="1" applyFont="1" applyBorder="1" applyAlignment="1" applyProtection="1">
      <alignment/>
      <protection/>
    </xf>
    <xf numFmtId="38" fontId="8" fillId="0" borderId="9" xfId="60" applyNumberFormat="1" applyFont="1" applyBorder="1" applyAlignment="1" applyProtection="1">
      <alignment/>
      <protection/>
    </xf>
    <xf numFmtId="38" fontId="8" fillId="0" borderId="9" xfId="60" applyNumberFormat="1" applyFont="1" applyBorder="1" applyAlignment="1" applyProtection="1">
      <alignment horizontal="center"/>
      <protection/>
    </xf>
    <xf numFmtId="38" fontId="8" fillId="0" borderId="0" xfId="60" applyNumberFormat="1" applyFont="1" applyAlignment="1">
      <alignment/>
    </xf>
    <xf numFmtId="38" fontId="8" fillId="0" borderId="13" xfId="60" applyNumberFormat="1" applyFont="1" applyBorder="1" applyAlignment="1" applyProtection="1">
      <alignment/>
      <protection/>
    </xf>
    <xf numFmtId="38" fontId="8" fillId="0" borderId="14" xfId="60" applyNumberFormat="1" applyFont="1" applyBorder="1" applyAlignment="1" applyProtection="1">
      <alignment/>
      <protection/>
    </xf>
    <xf numFmtId="38" fontId="8" fillId="0" borderId="3" xfId="60" applyNumberFormat="1" applyFont="1" applyBorder="1" applyAlignment="1" applyProtection="1">
      <alignment/>
      <protection/>
    </xf>
    <xf numFmtId="38" fontId="8" fillId="0" borderId="7" xfId="60" applyNumberFormat="1" applyFont="1" applyBorder="1" applyAlignment="1" applyProtection="1">
      <alignment horizontal="fill"/>
      <protection/>
    </xf>
    <xf numFmtId="38" fontId="8" fillId="0" borderId="13" xfId="60" applyNumberFormat="1" applyFont="1" applyBorder="1" applyAlignment="1" applyProtection="1">
      <alignment/>
      <protection/>
    </xf>
    <xf numFmtId="38" fontId="8" fillId="0" borderId="0" xfId="60" applyNumberFormat="1" applyFont="1" applyBorder="1" applyAlignment="1" applyProtection="1">
      <alignment/>
      <protection/>
    </xf>
    <xf numFmtId="38" fontId="8" fillId="0" borderId="7" xfId="60" applyNumberFormat="1" applyFont="1" applyBorder="1" applyAlignment="1" applyProtection="1">
      <alignment/>
      <protection/>
    </xf>
    <xf numFmtId="38" fontId="8" fillId="0" borderId="7" xfId="60" applyNumberFormat="1" applyFont="1" applyBorder="1" applyAlignment="1">
      <alignment/>
    </xf>
    <xf numFmtId="38" fontId="8" fillId="0" borderId="7" xfId="60" applyNumberFormat="1" applyFont="1" applyBorder="1" applyAlignment="1" applyProtection="1">
      <alignment horizontal="center"/>
      <protection/>
    </xf>
    <xf numFmtId="38" fontId="8" fillId="0" borderId="7" xfId="60" applyNumberFormat="1" applyFont="1" applyBorder="1" applyAlignment="1" applyProtection="1" quotePrefix="1">
      <alignment horizontal="center"/>
      <protection/>
    </xf>
    <xf numFmtId="38" fontId="8" fillId="0" borderId="7" xfId="60" applyNumberFormat="1" applyFont="1" applyBorder="1" applyAlignment="1">
      <alignment horizontal="center"/>
    </xf>
    <xf numFmtId="38" fontId="8" fillId="0" borderId="7" xfId="60" applyNumberFormat="1" applyFont="1" applyBorder="1" applyAlignment="1" quotePrefix="1">
      <alignment horizontal="center"/>
    </xf>
    <xf numFmtId="38" fontId="8" fillId="0" borderId="13" xfId="60" applyNumberFormat="1" applyFont="1" applyBorder="1" applyAlignment="1" applyProtection="1" quotePrefix="1">
      <alignment/>
      <protection/>
    </xf>
    <xf numFmtId="38" fontId="8" fillId="0" borderId="0" xfId="60" applyNumberFormat="1" applyFont="1" applyBorder="1" applyAlignment="1" applyProtection="1" quotePrefix="1">
      <alignment/>
      <protection/>
    </xf>
    <xf numFmtId="38" fontId="8" fillId="0" borderId="7" xfId="60" applyNumberFormat="1" applyFont="1" applyBorder="1" applyAlignment="1" applyProtection="1" quotePrefix="1">
      <alignment/>
      <protection/>
    </xf>
    <xf numFmtId="38" fontId="8" fillId="0" borderId="13" xfId="60" applyNumberFormat="1" applyFont="1" applyBorder="1" applyAlignment="1" quotePrefix="1">
      <alignment/>
    </xf>
    <xf numFmtId="38" fontId="8" fillId="0" borderId="0" xfId="60" applyNumberFormat="1" applyFont="1" applyBorder="1" applyAlignment="1" quotePrefix="1">
      <alignment/>
    </xf>
    <xf numFmtId="38" fontId="8" fillId="0" borderId="7" xfId="60" applyNumberFormat="1" applyFont="1" applyBorder="1" applyAlignment="1" quotePrefix="1">
      <alignment/>
    </xf>
    <xf numFmtId="38" fontId="8" fillId="0" borderId="13" xfId="60" applyNumberFormat="1" applyFont="1" applyBorder="1" applyAlignment="1">
      <alignment/>
    </xf>
    <xf numFmtId="38" fontId="8" fillId="0" borderId="0" xfId="60" applyNumberFormat="1" applyFont="1" applyBorder="1" applyAlignment="1">
      <alignment/>
    </xf>
    <xf numFmtId="38" fontId="8" fillId="0" borderId="15" xfId="60" applyNumberFormat="1" applyFont="1" applyBorder="1" applyAlignment="1">
      <alignment/>
    </xf>
    <xf numFmtId="38" fontId="8" fillId="0" borderId="16" xfId="60" applyNumberFormat="1" applyFont="1" applyBorder="1" applyAlignment="1">
      <alignment/>
    </xf>
    <xf numFmtId="38" fontId="8" fillId="0" borderId="9" xfId="60" applyNumberFormat="1" applyFont="1" applyBorder="1" applyAlignment="1">
      <alignment/>
    </xf>
    <xf numFmtId="38" fontId="8" fillId="0" borderId="9" xfId="60" applyNumberFormat="1" applyFont="1" applyBorder="1" applyAlignment="1">
      <alignment horizontal="center"/>
    </xf>
    <xf numFmtId="38" fontId="8" fillId="0" borderId="17" xfId="60" applyNumberFormat="1" applyFont="1" applyBorder="1" applyAlignment="1">
      <alignment/>
    </xf>
    <xf numFmtId="38" fontId="8" fillId="0" borderId="18" xfId="60" applyNumberFormat="1" applyFont="1" applyBorder="1" applyAlignment="1">
      <alignment/>
    </xf>
    <xf numFmtId="38" fontId="8" fillId="0" borderId="19" xfId="60" applyNumberFormat="1" applyFont="1" applyBorder="1" applyAlignment="1">
      <alignment/>
    </xf>
    <xf numFmtId="38" fontId="8" fillId="0" borderId="19" xfId="60" applyNumberFormat="1" applyFont="1" applyBorder="1" applyAlignment="1">
      <alignment horizontal="center"/>
    </xf>
    <xf numFmtId="38" fontId="8" fillId="0" borderId="0" xfId="60" applyNumberFormat="1" applyFont="1" applyAlignment="1" applyProtection="1">
      <alignment horizontal="fill"/>
      <protection/>
    </xf>
    <xf numFmtId="37" fontId="2" fillId="0" borderId="0" xfId="203">
      <alignment/>
      <protection/>
    </xf>
    <xf numFmtId="38" fontId="8" fillId="0" borderId="0" xfId="203" applyNumberFormat="1" applyFont="1" applyBorder="1" applyAlignment="1" applyProtection="1">
      <alignment vertical="center"/>
      <protection/>
    </xf>
    <xf numFmtId="38" fontId="8" fillId="0" borderId="7" xfId="203" applyNumberFormat="1" applyFont="1" applyBorder="1" applyAlignment="1" applyProtection="1">
      <alignment horizontal="center" vertical="center"/>
      <protection/>
    </xf>
    <xf numFmtId="0" fontId="3" fillId="0" borderId="0" xfId="60" applyNumberFormat="1" applyFont="1" applyBorder="1" applyAlignment="1" applyProtection="1">
      <alignment/>
      <protection/>
    </xf>
    <xf numFmtId="0" fontId="3" fillId="0" borderId="0" xfId="60" applyNumberFormat="1" applyFont="1" applyBorder="1" applyAlignment="1" applyProtection="1" quotePrefix="1">
      <alignment/>
      <protection/>
    </xf>
    <xf numFmtId="37" fontId="4" fillId="0" borderId="0" xfId="203" applyFont="1" applyAlignment="1">
      <alignment vertical="center"/>
      <protection/>
    </xf>
    <xf numFmtId="37" fontId="4" fillId="0" borderId="0" xfId="203" applyFont="1">
      <alignment/>
      <protection/>
    </xf>
    <xf numFmtId="37" fontId="7" fillId="0" borderId="20" xfId="203" applyFont="1" applyBorder="1" applyAlignment="1">
      <alignment vertical="center"/>
      <protection/>
    </xf>
    <xf numFmtId="37" fontId="7" fillId="0" borderId="2" xfId="203" applyFont="1" applyBorder="1" applyAlignment="1" applyProtection="1">
      <alignment horizontal="center" vertical="center"/>
      <protection/>
    </xf>
    <xf numFmtId="37" fontId="7" fillId="0" borderId="9" xfId="203" applyFont="1" applyBorder="1" applyAlignment="1" applyProtection="1">
      <alignment horizontal="centerContinuous" vertical="center"/>
      <protection/>
    </xf>
    <xf numFmtId="37" fontId="7" fillId="0" borderId="9" xfId="203" applyFont="1" applyBorder="1" applyAlignment="1">
      <alignment horizontal="centerContinuous" vertical="center"/>
      <protection/>
    </xf>
    <xf numFmtId="37" fontId="7" fillId="0" borderId="3" xfId="203" applyFont="1" applyBorder="1" applyAlignment="1">
      <alignment vertical="center"/>
      <protection/>
    </xf>
    <xf numFmtId="37" fontId="7" fillId="0" borderId="2" xfId="203" applyFont="1" applyBorder="1" applyAlignment="1">
      <alignment vertical="center"/>
      <protection/>
    </xf>
    <xf numFmtId="37" fontId="7" fillId="0" borderId="0" xfId="203" applyFont="1" applyAlignment="1">
      <alignment vertical="center"/>
      <protection/>
    </xf>
    <xf numFmtId="37" fontId="7" fillId="0" borderId="3" xfId="203" applyFont="1" applyBorder="1" applyAlignment="1">
      <alignment horizontal="centerContinuous" vertical="center"/>
      <protection/>
    </xf>
    <xf numFmtId="37" fontId="7" fillId="0" borderId="3" xfId="203" applyFont="1" applyBorder="1" applyAlignment="1">
      <alignment horizontal="center" vertical="center"/>
      <protection/>
    </xf>
    <xf numFmtId="37" fontId="7" fillId="0" borderId="2" xfId="203" applyFont="1" applyBorder="1" applyAlignment="1">
      <alignment horizontal="center" vertical="center"/>
      <protection/>
    </xf>
    <xf numFmtId="37" fontId="7" fillId="0" borderId="3" xfId="203" applyFont="1" applyBorder="1" applyAlignment="1" applyProtection="1">
      <alignment horizontal="centerContinuous" vertical="center"/>
      <protection/>
    </xf>
    <xf numFmtId="37" fontId="7" fillId="0" borderId="0" xfId="203" applyFont="1" applyBorder="1" applyAlignment="1">
      <alignment horizontal="center" vertical="center"/>
      <protection/>
    </xf>
    <xf numFmtId="37" fontId="7" fillId="0" borderId="21" xfId="203" applyFont="1" applyBorder="1" applyAlignment="1" applyProtection="1">
      <alignment horizontal="center" vertical="center"/>
      <protection/>
    </xf>
    <xf numFmtId="37" fontId="7" fillId="0" borderId="4" xfId="203" applyFont="1" applyBorder="1" applyAlignment="1" applyProtection="1">
      <alignment horizontal="center" vertical="center"/>
      <protection/>
    </xf>
    <xf numFmtId="37" fontId="7" fillId="0" borderId="5" xfId="203" applyFont="1" applyBorder="1" applyAlignment="1" applyProtection="1">
      <alignment horizontal="center" vertical="center"/>
      <protection/>
    </xf>
    <xf numFmtId="37" fontId="7" fillId="0" borderId="0" xfId="203" applyFont="1" applyAlignment="1" applyProtection="1">
      <alignment horizontal="center" vertical="center"/>
      <protection/>
    </xf>
    <xf numFmtId="37" fontId="7" fillId="0" borderId="5" xfId="203" applyFont="1" applyBorder="1" applyAlignment="1" applyProtection="1" quotePrefix="1">
      <alignment horizontal="center" vertical="center"/>
      <protection/>
    </xf>
    <xf numFmtId="37" fontId="7" fillId="0" borderId="0" xfId="203" applyFont="1" applyBorder="1" applyAlignment="1" applyProtection="1">
      <alignment horizontal="center" vertical="center"/>
      <protection/>
    </xf>
    <xf numFmtId="38" fontId="4" fillId="0" borderId="13" xfId="61" applyNumberFormat="1" applyFont="1" applyBorder="1" applyAlignment="1" applyProtection="1">
      <alignment vertical="center"/>
      <protection/>
    </xf>
    <xf numFmtId="38" fontId="4" fillId="0" borderId="6" xfId="61" applyNumberFormat="1" applyFont="1" applyBorder="1" applyAlignment="1" applyProtection="1">
      <alignment horizontal="fill" vertical="center"/>
      <protection/>
    </xf>
    <xf numFmtId="38" fontId="4" fillId="0" borderId="7" xfId="61" applyNumberFormat="1" applyFont="1" applyBorder="1" applyAlignment="1" applyProtection="1">
      <alignment horizontal="fill" vertical="center"/>
      <protection/>
    </xf>
    <xf numFmtId="38" fontId="4" fillId="0" borderId="0" xfId="61" applyNumberFormat="1" applyFont="1" applyAlignment="1">
      <alignment vertical="center"/>
    </xf>
    <xf numFmtId="38" fontId="4" fillId="0" borderId="0" xfId="61" applyNumberFormat="1" applyFont="1" applyAlignment="1" applyProtection="1">
      <alignment horizontal="fill" vertical="center"/>
      <protection/>
    </xf>
    <xf numFmtId="38" fontId="4" fillId="0" borderId="0" xfId="61" applyNumberFormat="1" applyFont="1" applyBorder="1" applyAlignment="1" applyProtection="1">
      <alignment horizontal="fill" vertical="center"/>
      <protection/>
    </xf>
    <xf numFmtId="38" fontId="6" fillId="0" borderId="13" xfId="61" applyNumberFormat="1" applyFont="1" applyBorder="1" applyAlignment="1" applyProtection="1">
      <alignment vertical="center"/>
      <protection/>
    </xf>
    <xf numFmtId="38" fontId="4" fillId="0" borderId="10" xfId="61" applyNumberFormat="1" applyFont="1" applyBorder="1" applyAlignment="1" applyProtection="1">
      <alignment vertical="center"/>
      <protection/>
    </xf>
    <xf numFmtId="38" fontId="4" fillId="0" borderId="19" xfId="61" applyNumberFormat="1" applyFont="1" applyBorder="1" applyAlignment="1" applyProtection="1">
      <alignment vertical="center"/>
      <protection/>
    </xf>
    <xf numFmtId="38" fontId="4" fillId="0" borderId="0" xfId="61" applyNumberFormat="1" applyFont="1" applyAlignment="1" applyProtection="1">
      <alignment vertical="center"/>
      <protection/>
    </xf>
    <xf numFmtId="38" fontId="4" fillId="0" borderId="10" xfId="61" applyNumberFormat="1" applyFont="1" applyBorder="1" applyAlignment="1">
      <alignment vertical="center"/>
    </xf>
    <xf numFmtId="38" fontId="4" fillId="0" borderId="0" xfId="61" applyNumberFormat="1" applyFont="1" applyBorder="1" applyAlignment="1" applyProtection="1">
      <alignment vertical="center"/>
      <protection/>
    </xf>
    <xf numFmtId="38" fontId="4" fillId="0" borderId="13" xfId="61" applyNumberFormat="1" applyFont="1" applyBorder="1" applyAlignment="1">
      <alignment vertical="center"/>
    </xf>
    <xf numFmtId="38" fontId="4" fillId="0" borderId="6" xfId="61" applyNumberFormat="1" applyFont="1" applyBorder="1" applyAlignment="1">
      <alignment vertical="center"/>
    </xf>
    <xf numFmtId="38" fontId="4" fillId="0" borderId="7" xfId="61" applyNumberFormat="1" applyFont="1" applyBorder="1" applyAlignment="1">
      <alignment vertical="center"/>
    </xf>
    <xf numFmtId="38" fontId="4" fillId="0" borderId="0" xfId="61" applyNumberFormat="1" applyFont="1" applyBorder="1" applyAlignment="1">
      <alignment vertical="center"/>
    </xf>
    <xf numFmtId="38" fontId="4" fillId="0" borderId="4" xfId="61" applyNumberFormat="1" applyFont="1" applyBorder="1" applyAlignment="1">
      <alignment vertical="center"/>
    </xf>
    <xf numFmtId="38" fontId="4" fillId="0" borderId="5" xfId="61" applyNumberFormat="1" applyFont="1" applyBorder="1" applyAlignment="1">
      <alignment vertical="center"/>
    </xf>
    <xf numFmtId="38" fontId="4" fillId="0" borderId="6" xfId="61" applyNumberFormat="1" applyFont="1" applyBorder="1" applyAlignment="1" applyProtection="1">
      <alignment vertical="center"/>
      <protection/>
    </xf>
    <xf numFmtId="38" fontId="4" fillId="0" borderId="7" xfId="61" applyNumberFormat="1" applyFont="1" applyBorder="1" applyAlignment="1" applyProtection="1">
      <alignment vertical="center"/>
      <protection/>
    </xf>
    <xf numFmtId="38" fontId="4" fillId="0" borderId="5" xfId="61" applyNumberFormat="1" applyFont="1" applyBorder="1" applyAlignment="1" applyProtection="1">
      <alignment vertical="center"/>
      <protection/>
    </xf>
    <xf numFmtId="38" fontId="4" fillId="0" borderId="4" xfId="61" applyNumberFormat="1" applyFont="1" applyBorder="1" applyAlignment="1" applyProtection="1">
      <alignment vertical="center"/>
      <protection/>
    </xf>
    <xf numFmtId="38" fontId="6" fillId="0" borderId="13" xfId="61" applyNumberFormat="1" applyFont="1" applyBorder="1" applyAlignment="1" applyProtection="1" quotePrefix="1">
      <alignment vertical="center"/>
      <protection/>
    </xf>
    <xf numFmtId="37" fontId="4" fillId="0" borderId="0" xfId="203" applyNumberFormat="1" applyFont="1">
      <alignment/>
      <protection/>
    </xf>
    <xf numFmtId="38" fontId="4" fillId="0" borderId="12" xfId="61" applyNumberFormat="1" applyFont="1" applyBorder="1" applyAlignment="1" applyProtection="1">
      <alignment vertical="center"/>
      <protection/>
    </xf>
    <xf numFmtId="38" fontId="4" fillId="0" borderId="9" xfId="61" applyNumberFormat="1" applyFont="1" applyBorder="1" applyAlignment="1" applyProtection="1">
      <alignment vertical="center"/>
      <protection/>
    </xf>
    <xf numFmtId="37" fontId="4" fillId="0" borderId="0" xfId="203" applyFont="1" applyBorder="1" applyAlignment="1">
      <alignment vertical="center"/>
      <protection/>
    </xf>
    <xf numFmtId="38" fontId="4" fillId="0" borderId="10" xfId="61" applyNumberFormat="1" applyFont="1" applyBorder="1" applyAlignment="1" applyProtection="1">
      <alignment horizontal="fill" vertical="center"/>
      <protection/>
    </xf>
    <xf numFmtId="38" fontId="4" fillId="0" borderId="19" xfId="61" applyNumberFormat="1" applyFont="1" applyBorder="1" applyAlignment="1" applyProtection="1">
      <alignment horizontal="fill" vertical="center"/>
      <protection/>
    </xf>
    <xf numFmtId="38" fontId="4" fillId="0" borderId="17" xfId="61" applyNumberFormat="1" applyFont="1" applyBorder="1" applyAlignment="1">
      <alignment vertical="center"/>
    </xf>
    <xf numFmtId="38" fontId="4" fillId="0" borderId="8" xfId="61" applyNumberFormat="1" applyFont="1" applyBorder="1" applyAlignment="1" applyProtection="1">
      <alignment vertical="center"/>
      <protection/>
    </xf>
    <xf numFmtId="38" fontId="4" fillId="0" borderId="11" xfId="61" applyNumberFormat="1" applyFont="1" applyBorder="1" applyAlignment="1" applyProtection="1">
      <alignment vertical="center"/>
      <protection/>
    </xf>
    <xf numFmtId="186" fontId="4" fillId="0" borderId="0" xfId="61" applyNumberFormat="1" applyFont="1" applyAlignment="1" applyProtection="1">
      <alignment vertical="center"/>
      <protection/>
    </xf>
    <xf numFmtId="37" fontId="4" fillId="0" borderId="0" xfId="203" applyNumberFormat="1" applyFont="1" applyAlignment="1" applyProtection="1">
      <alignment vertical="center"/>
      <protection/>
    </xf>
    <xf numFmtId="37" fontId="4" fillId="0" borderId="0" xfId="203" applyFont="1" applyBorder="1">
      <alignment/>
      <protection/>
    </xf>
    <xf numFmtId="37" fontId="3" fillId="0" borderId="0" xfId="203" applyFont="1" applyAlignment="1" applyProtection="1">
      <alignment vertical="center"/>
      <protection/>
    </xf>
    <xf numFmtId="37" fontId="3" fillId="0" borderId="0" xfId="203" applyFont="1" applyAlignment="1">
      <alignment vertical="center"/>
      <protection/>
    </xf>
    <xf numFmtId="37" fontId="3" fillId="0" borderId="0" xfId="203" applyFont="1">
      <alignment/>
      <protection/>
    </xf>
    <xf numFmtId="37" fontId="8" fillId="0" borderId="0" xfId="203" applyFont="1" applyAlignment="1">
      <alignment vertical="center"/>
      <protection/>
    </xf>
    <xf numFmtId="37" fontId="5" fillId="0" borderId="0" xfId="203" applyFont="1" applyAlignment="1" applyProtection="1">
      <alignment vertical="center"/>
      <protection/>
    </xf>
    <xf numFmtId="37" fontId="8" fillId="0" borderId="0" xfId="203" applyFont="1">
      <alignment/>
      <protection/>
    </xf>
    <xf numFmtId="37" fontId="3" fillId="0" borderId="0" xfId="203" applyFont="1" applyAlignment="1" applyProtection="1" quotePrefix="1">
      <alignment vertical="center"/>
      <protection/>
    </xf>
    <xf numFmtId="0" fontId="6" fillId="0" borderId="0" xfId="60" applyNumberFormat="1" applyFont="1" applyAlignment="1">
      <alignment horizontal="right"/>
    </xf>
    <xf numFmtId="0" fontId="6" fillId="0" borderId="0" xfId="60" applyNumberFormat="1" applyFont="1" applyAlignment="1" applyProtection="1">
      <alignment horizontal="right"/>
      <protection/>
    </xf>
    <xf numFmtId="38" fontId="8" fillId="2" borderId="7" xfId="60" applyNumberFormat="1" applyFont="1" applyFill="1" applyBorder="1" applyAlignment="1" applyProtection="1">
      <alignment/>
      <protection/>
    </xf>
    <xf numFmtId="38" fontId="8" fillId="2" borderId="7" xfId="60" applyNumberFormat="1" applyFont="1" applyFill="1" applyBorder="1" applyAlignment="1">
      <alignment/>
    </xf>
    <xf numFmtId="40" fontId="4" fillId="0" borderId="0" xfId="202" applyNumberFormat="1" applyFont="1" applyAlignment="1">
      <alignment/>
      <protection/>
    </xf>
    <xf numFmtId="38" fontId="8" fillId="0" borderId="7" xfId="60" applyNumberFormat="1" applyFont="1" applyFill="1" applyBorder="1" applyAlignment="1" applyProtection="1">
      <alignment/>
      <protection/>
    </xf>
    <xf numFmtId="38" fontId="8" fillId="0" borderId="7" xfId="60" applyNumberFormat="1" applyFont="1" applyFill="1" applyBorder="1" applyAlignment="1">
      <alignment/>
    </xf>
    <xf numFmtId="38" fontId="8" fillId="2" borderId="13" xfId="60" applyNumberFormat="1" applyFont="1" applyFill="1" applyBorder="1" applyAlignment="1">
      <alignment/>
    </xf>
    <xf numFmtId="38" fontId="8" fillId="2" borderId="7" xfId="60" applyNumberFormat="1" applyFont="1" applyFill="1" applyBorder="1" applyAlignment="1">
      <alignment horizontal="center"/>
    </xf>
    <xf numFmtId="38" fontId="8" fillId="2" borderId="13" xfId="60" applyNumberFormat="1" applyFont="1" applyFill="1" applyBorder="1" applyAlignment="1" applyProtection="1">
      <alignment/>
      <protection/>
    </xf>
    <xf numFmtId="38" fontId="8" fillId="2" borderId="0" xfId="60" applyNumberFormat="1" applyFont="1" applyFill="1" applyBorder="1" applyAlignment="1" applyProtection="1">
      <alignment/>
      <protection/>
    </xf>
    <xf numFmtId="38" fontId="8" fillId="2" borderId="7" xfId="60" applyNumberFormat="1" applyFont="1" applyFill="1" applyBorder="1" applyAlignment="1" applyProtection="1">
      <alignment horizontal="center"/>
      <protection/>
    </xf>
    <xf numFmtId="38" fontId="8" fillId="0" borderId="7" xfId="203" applyNumberFormat="1" applyFont="1" applyFill="1" applyBorder="1" applyAlignment="1" applyProtection="1">
      <alignment vertical="center"/>
      <protection/>
    </xf>
    <xf numFmtId="38" fontId="8" fillId="2" borderId="0" xfId="60" applyNumberFormat="1" applyFont="1" applyFill="1" applyBorder="1" applyAlignment="1">
      <alignment/>
    </xf>
    <xf numFmtId="38" fontId="8" fillId="0" borderId="13" xfId="203" applyNumberFormat="1" applyFont="1" applyFill="1" applyBorder="1" applyAlignment="1">
      <alignment vertical="center"/>
      <protection/>
    </xf>
    <xf numFmtId="38" fontId="8" fillId="0" borderId="0" xfId="203" applyNumberFormat="1" applyFont="1" applyFill="1" applyBorder="1" applyAlignment="1">
      <alignment vertical="center"/>
      <protection/>
    </xf>
    <xf numFmtId="38" fontId="8" fillId="0" borderId="7" xfId="203" applyNumberFormat="1" applyFont="1" applyFill="1" applyBorder="1" applyAlignment="1">
      <alignment vertical="center"/>
      <protection/>
    </xf>
    <xf numFmtId="38" fontId="8" fillId="0" borderId="7" xfId="203" applyNumberFormat="1" applyFont="1" applyFill="1" applyBorder="1" applyAlignment="1">
      <alignment horizontal="center" vertical="center"/>
      <protection/>
    </xf>
    <xf numFmtId="38" fontId="4" fillId="0" borderId="0" xfId="60" applyNumberFormat="1" applyFont="1" applyAlignment="1" quotePrefix="1">
      <alignment/>
    </xf>
    <xf numFmtId="38" fontId="4" fillId="0" borderId="0" xfId="60" applyNumberFormat="1" applyFont="1" applyAlignment="1" applyProtection="1" quotePrefix="1">
      <alignment/>
      <protection/>
    </xf>
    <xf numFmtId="38" fontId="8" fillId="0" borderId="13" xfId="203" applyNumberFormat="1" applyFont="1" applyFill="1" applyBorder="1" applyAlignment="1" quotePrefix="1">
      <alignment vertical="center"/>
      <protection/>
    </xf>
    <xf numFmtId="38" fontId="8" fillId="0" borderId="6" xfId="203" applyNumberFormat="1" applyFont="1" applyFill="1" applyBorder="1" applyAlignment="1">
      <alignment horizontal="center" vertical="center"/>
      <protection/>
    </xf>
    <xf numFmtId="38" fontId="4" fillId="0" borderId="9" xfId="6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190" fontId="0" fillId="0" borderId="0" xfId="0" applyNumberFormat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90" fontId="0" fillId="0" borderId="0" xfId="15" applyNumberFormat="1" applyFill="1" applyAlignment="1">
      <alignment/>
    </xf>
    <xf numFmtId="37" fontId="2" fillId="0" borderId="0" xfId="203" applyFill="1">
      <alignment/>
      <protection/>
    </xf>
    <xf numFmtId="38" fontId="8" fillId="0" borderId="13" xfId="203" applyNumberFormat="1" applyFont="1" applyFill="1" applyBorder="1" applyAlignment="1" applyProtection="1">
      <alignment vertical="center"/>
      <protection/>
    </xf>
    <xf numFmtId="38" fontId="8" fillId="0" borderId="0" xfId="203" applyNumberFormat="1" applyFont="1" applyFill="1" applyBorder="1" applyAlignment="1" applyProtection="1">
      <alignment vertical="center"/>
      <protection/>
    </xf>
    <xf numFmtId="38" fontId="8" fillId="0" borderId="7" xfId="203" applyNumberFormat="1" applyFont="1" applyFill="1" applyBorder="1" applyAlignment="1" applyProtection="1">
      <alignment horizontal="center" vertical="center"/>
      <protection/>
    </xf>
    <xf numFmtId="38" fontId="8" fillId="0" borderId="0" xfId="6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38" fontId="4" fillId="0" borderId="13" xfId="61" applyNumberFormat="1" applyFont="1" applyFill="1" applyBorder="1" applyAlignment="1">
      <alignment vertical="center"/>
    </xf>
    <xf numFmtId="38" fontId="4" fillId="0" borderId="6" xfId="61" applyNumberFormat="1" applyFont="1" applyFill="1" applyBorder="1" applyAlignment="1">
      <alignment vertical="center"/>
    </xf>
    <xf numFmtId="38" fontId="4" fillId="0" borderId="7" xfId="61" applyNumberFormat="1" applyFont="1" applyFill="1" applyBorder="1" applyAlignment="1" applyProtection="1">
      <alignment vertical="center"/>
      <protection/>
    </xf>
    <xf numFmtId="38" fontId="4" fillId="0" borderId="0" xfId="61" applyNumberFormat="1" applyFont="1" applyFill="1" applyAlignment="1">
      <alignment vertical="center"/>
    </xf>
    <xf numFmtId="38" fontId="4" fillId="0" borderId="0" xfId="61" applyNumberFormat="1" applyFont="1" applyFill="1" applyBorder="1" applyAlignment="1">
      <alignment vertical="center"/>
    </xf>
    <xf numFmtId="37" fontId="4" fillId="0" borderId="0" xfId="203" applyFont="1" applyFill="1">
      <alignment/>
      <protection/>
    </xf>
    <xf numFmtId="37" fontId="2" fillId="0" borderId="0" xfId="203" applyFont="1">
      <alignment/>
      <protection/>
    </xf>
    <xf numFmtId="0" fontId="8" fillId="0" borderId="0" xfId="0" applyFont="1" applyAlignment="1">
      <alignment/>
    </xf>
    <xf numFmtId="38" fontId="8" fillId="0" borderId="7" xfId="6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90" fontId="14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190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38" fontId="8" fillId="0" borderId="13" xfId="60" applyNumberFormat="1" applyFont="1" applyFill="1" applyBorder="1" applyAlignment="1" applyProtection="1">
      <alignment/>
      <protection/>
    </xf>
    <xf numFmtId="38" fontId="8" fillId="0" borderId="0" xfId="60" applyNumberFormat="1" applyFont="1" applyFill="1" applyBorder="1" applyAlignment="1" applyProtection="1">
      <alignment/>
      <protection/>
    </xf>
    <xf numFmtId="38" fontId="8" fillId="0" borderId="7" xfId="60" applyNumberFormat="1" applyFont="1" applyFill="1" applyBorder="1" applyAlignment="1" applyProtection="1">
      <alignment horizontal="center"/>
      <protection/>
    </xf>
    <xf numFmtId="37" fontId="2" fillId="0" borderId="0" xfId="202" applyFill="1">
      <alignment/>
      <protection/>
    </xf>
    <xf numFmtId="38" fontId="8" fillId="0" borderId="7" xfId="60" applyNumberFormat="1" applyFont="1" applyFill="1" applyBorder="1" applyAlignment="1">
      <alignment horizontal="center"/>
    </xf>
    <xf numFmtId="38" fontId="8" fillId="0" borderId="13" xfId="60" applyNumberFormat="1" applyFont="1" applyFill="1" applyBorder="1" applyAlignment="1" quotePrefix="1">
      <alignment/>
    </xf>
    <xf numFmtId="38" fontId="8" fillId="0" borderId="7" xfId="60" applyNumberFormat="1" applyFont="1" applyFill="1" applyBorder="1" applyAlignment="1" quotePrefix="1">
      <alignment/>
    </xf>
    <xf numFmtId="38" fontId="8" fillId="0" borderId="13" xfId="60" applyNumberFormat="1" applyFont="1" applyFill="1" applyBorder="1" applyAlignment="1">
      <alignment/>
    </xf>
    <xf numFmtId="38" fontId="8" fillId="0" borderId="13" xfId="60" applyNumberFormat="1" applyFont="1" applyFill="1" applyBorder="1" applyAlignment="1" applyProtection="1" quotePrefix="1">
      <alignment/>
      <protection/>
    </xf>
    <xf numFmtId="38" fontId="8" fillId="0" borderId="7" xfId="60" applyNumberFormat="1" applyFont="1" applyFill="1" applyBorder="1" applyAlignment="1" applyProtection="1" quotePrefix="1">
      <alignment/>
      <protection/>
    </xf>
    <xf numFmtId="190" fontId="8" fillId="0" borderId="7" xfId="15" applyNumberFormat="1" applyFont="1" applyFill="1" applyBorder="1" applyAlignment="1" applyProtection="1">
      <alignment horizontal="fill"/>
      <protection/>
    </xf>
    <xf numFmtId="38" fontId="3" fillId="0" borderId="0" xfId="203" applyNumberFormat="1" applyFont="1" applyFill="1" applyAlignment="1" applyProtection="1">
      <alignment vertical="center"/>
      <protection/>
    </xf>
    <xf numFmtId="38" fontId="2" fillId="0" borderId="0" xfId="203" applyNumberFormat="1" applyFill="1" applyAlignment="1">
      <alignment/>
      <protection/>
    </xf>
    <xf numFmtId="38" fontId="3" fillId="0" borderId="0" xfId="203" applyNumberFormat="1" applyFont="1" applyFill="1" applyAlignment="1" applyProtection="1" quotePrefix="1">
      <alignment vertical="center"/>
      <protection/>
    </xf>
    <xf numFmtId="38" fontId="8" fillId="0" borderId="0" xfId="203" applyNumberFormat="1" applyFont="1" applyFill="1" applyAlignment="1" applyProtection="1">
      <alignment vertical="center"/>
      <protection/>
    </xf>
    <xf numFmtId="38" fontId="8" fillId="0" borderId="12" xfId="203" applyNumberFormat="1" applyFont="1" applyFill="1" applyBorder="1" applyAlignment="1" applyProtection="1">
      <alignment vertical="center"/>
      <protection/>
    </xf>
    <xf numFmtId="38" fontId="8" fillId="0" borderId="9" xfId="203" applyNumberFormat="1" applyFont="1" applyFill="1" applyBorder="1" applyAlignment="1" applyProtection="1">
      <alignment vertical="center"/>
      <protection/>
    </xf>
    <xf numFmtId="38" fontId="8" fillId="0" borderId="9" xfId="203" applyNumberFormat="1" applyFont="1" applyFill="1" applyBorder="1" applyAlignment="1" applyProtection="1" quotePrefix="1">
      <alignment horizontal="center" vertical="center"/>
      <protection/>
    </xf>
    <xf numFmtId="38" fontId="8" fillId="0" borderId="9" xfId="203" applyNumberFormat="1" applyFont="1" applyFill="1" applyBorder="1" applyAlignment="1" applyProtection="1">
      <alignment horizontal="center" vertical="center"/>
      <protection/>
    </xf>
    <xf numFmtId="38" fontId="8" fillId="0" borderId="20" xfId="203" applyNumberFormat="1" applyFont="1" applyFill="1" applyBorder="1" applyAlignment="1" applyProtection="1">
      <alignment vertical="center"/>
      <protection/>
    </xf>
    <xf numFmtId="38" fontId="8" fillId="0" borderId="14" xfId="203" applyNumberFormat="1" applyFont="1" applyFill="1" applyBorder="1" applyAlignment="1" applyProtection="1">
      <alignment vertical="center"/>
      <protection/>
    </xf>
    <xf numFmtId="38" fontId="8" fillId="0" borderId="3" xfId="203" applyNumberFormat="1" applyFont="1" applyFill="1" applyBorder="1" applyAlignment="1" applyProtection="1">
      <alignment vertical="center"/>
      <protection/>
    </xf>
    <xf numFmtId="38" fontId="8" fillId="0" borderId="7" xfId="203" applyNumberFormat="1" applyFont="1" applyFill="1" applyBorder="1" applyAlignment="1" applyProtection="1">
      <alignment horizontal="fill" vertical="center"/>
      <protection/>
    </xf>
    <xf numFmtId="38" fontId="8" fillId="0" borderId="13" xfId="203" applyNumberFormat="1" applyFont="1" applyFill="1" applyBorder="1" applyAlignment="1" applyProtection="1" quotePrefix="1">
      <alignment vertical="center"/>
      <protection/>
    </xf>
    <xf numFmtId="38" fontId="8" fillId="0" borderId="7" xfId="203" applyNumberFormat="1" applyFont="1" applyFill="1" applyBorder="1" applyAlignment="1" applyProtection="1" quotePrefix="1">
      <alignment vertical="center"/>
      <protection/>
    </xf>
    <xf numFmtId="38" fontId="8" fillId="0" borderId="0" xfId="203" applyNumberFormat="1" applyFont="1" applyFill="1" applyBorder="1" applyAlignment="1" quotePrefix="1">
      <alignment vertical="center"/>
      <protection/>
    </xf>
    <xf numFmtId="38" fontId="8" fillId="0" borderId="4" xfId="203" applyNumberFormat="1" applyFont="1" applyFill="1" applyBorder="1" applyAlignment="1">
      <alignment horizontal="center" vertical="center"/>
      <protection/>
    </xf>
    <xf numFmtId="38" fontId="8" fillId="0" borderId="15" xfId="203" applyNumberFormat="1" applyFont="1" applyFill="1" applyBorder="1" applyAlignment="1">
      <alignment vertical="center"/>
      <protection/>
    </xf>
    <xf numFmtId="38" fontId="8" fillId="0" borderId="16" xfId="203" applyNumberFormat="1" applyFont="1" applyFill="1" applyBorder="1" applyAlignment="1">
      <alignment vertical="center"/>
      <protection/>
    </xf>
    <xf numFmtId="38" fontId="8" fillId="0" borderId="9" xfId="203" applyNumberFormat="1" applyFont="1" applyFill="1" applyBorder="1" applyAlignment="1">
      <alignment vertical="center"/>
      <protection/>
    </xf>
    <xf numFmtId="38" fontId="8" fillId="0" borderId="9" xfId="203" applyNumberFormat="1" applyFont="1" applyFill="1" applyBorder="1" applyAlignment="1">
      <alignment horizontal="center" vertical="center"/>
      <protection/>
    </xf>
    <xf numFmtId="38" fontId="8" fillId="0" borderId="7" xfId="203" applyNumberFormat="1" applyFont="1" applyFill="1" applyBorder="1" applyAlignment="1" quotePrefix="1">
      <alignment vertical="center"/>
      <protection/>
    </xf>
    <xf numFmtId="38" fontId="8" fillId="0" borderId="7" xfId="203" applyNumberFormat="1" applyFont="1" applyFill="1" applyBorder="1" applyAlignment="1" applyProtection="1" quotePrefix="1">
      <alignment horizontal="center" vertical="center"/>
      <protection/>
    </xf>
    <xf numFmtId="37" fontId="2" fillId="0" borderId="7" xfId="203" applyFill="1" applyBorder="1">
      <alignment/>
      <protection/>
    </xf>
    <xf numFmtId="37" fontId="2" fillId="0" borderId="0" xfId="203" applyFill="1" applyBorder="1">
      <alignment/>
      <protection/>
    </xf>
    <xf numFmtId="38" fontId="8" fillId="0" borderId="6" xfId="203" applyNumberFormat="1" applyFont="1" applyFill="1" applyBorder="1" applyAlignment="1" applyProtection="1">
      <alignment horizontal="center" vertical="center"/>
      <protection/>
    </xf>
    <xf numFmtId="38" fontId="8" fillId="0" borderId="6" xfId="203" applyNumberFormat="1" applyFont="1" applyFill="1" applyBorder="1" applyAlignment="1">
      <alignment vertical="center"/>
      <protection/>
    </xf>
    <xf numFmtId="38" fontId="8" fillId="0" borderId="9" xfId="203" applyNumberFormat="1" applyFont="1" applyFill="1" applyBorder="1" applyAlignment="1">
      <alignment vertical="center"/>
      <protection/>
    </xf>
    <xf numFmtId="38" fontId="8" fillId="3" borderId="7" xfId="203" applyNumberFormat="1" applyFont="1" applyFill="1" applyBorder="1" applyAlignment="1" applyProtection="1">
      <alignment vertical="center"/>
      <protection/>
    </xf>
    <xf numFmtId="38" fontId="8" fillId="4" borderId="0" xfId="203" applyNumberFormat="1" applyFont="1" applyFill="1" applyBorder="1" applyAlignment="1">
      <alignment vertical="center"/>
      <protection/>
    </xf>
    <xf numFmtId="38" fontId="8" fillId="4" borderId="7" xfId="203" applyNumberFormat="1" applyFont="1" applyFill="1" applyBorder="1" applyAlignment="1">
      <alignment vertical="center"/>
      <protection/>
    </xf>
    <xf numFmtId="37" fontId="2" fillId="4" borderId="0" xfId="203" applyFill="1">
      <alignment/>
      <protection/>
    </xf>
    <xf numFmtId="37" fontId="2" fillId="4" borderId="0" xfId="203" applyFont="1" applyFill="1">
      <alignment/>
      <protection/>
    </xf>
    <xf numFmtId="38" fontId="8" fillId="4" borderId="13" xfId="203" applyNumberFormat="1" applyFont="1" applyFill="1" applyBorder="1" applyAlignment="1" applyProtection="1">
      <alignment vertical="center"/>
      <protection/>
    </xf>
    <xf numFmtId="38" fontId="8" fillId="4" borderId="0" xfId="203" applyNumberFormat="1" applyFont="1" applyFill="1" applyBorder="1" applyAlignment="1" applyProtection="1">
      <alignment vertical="center"/>
      <protection/>
    </xf>
    <xf numFmtId="38" fontId="8" fillId="4" borderId="7" xfId="203" applyNumberFormat="1" applyFont="1" applyFill="1" applyBorder="1" applyAlignment="1" applyProtection="1">
      <alignment vertical="center"/>
      <protection/>
    </xf>
    <xf numFmtId="38" fontId="8" fillId="4" borderId="7" xfId="203" applyNumberFormat="1" applyFont="1" applyFill="1" applyBorder="1" applyAlignment="1">
      <alignment horizontal="center" vertical="center"/>
      <protection/>
    </xf>
    <xf numFmtId="38" fontId="8" fillId="4" borderId="7" xfId="203" applyNumberFormat="1" applyFont="1" applyFill="1" applyBorder="1" applyAlignment="1" applyProtection="1">
      <alignment horizontal="center" vertical="center"/>
      <protection/>
    </xf>
    <xf numFmtId="38" fontId="8" fillId="4" borderId="0" xfId="60" applyNumberFormat="1" applyFont="1" applyFill="1" applyBorder="1" applyAlignment="1">
      <alignment/>
    </xf>
    <xf numFmtId="38" fontId="8" fillId="4" borderId="13" xfId="203" applyNumberFormat="1" applyFont="1" applyFill="1" applyBorder="1" applyAlignment="1">
      <alignment vertical="center"/>
      <protection/>
    </xf>
    <xf numFmtId="37" fontId="2" fillId="0" borderId="0" xfId="202" applyFont="1">
      <alignment/>
      <protection/>
    </xf>
    <xf numFmtId="37" fontId="2" fillId="0" borderId="0" xfId="202" applyFont="1" applyAlignment="1">
      <alignment horizontal="center"/>
      <protection/>
    </xf>
    <xf numFmtId="37" fontId="9" fillId="0" borderId="0" xfId="203" applyFont="1" applyBorder="1" applyAlignment="1">
      <alignment vertical="center"/>
      <protection/>
    </xf>
    <xf numFmtId="38" fontId="8" fillId="0" borderId="13" xfId="203" applyNumberFormat="1" applyFont="1" applyFill="1" applyBorder="1" applyAlignment="1">
      <alignment vertical="center"/>
      <protection/>
    </xf>
    <xf numFmtId="38" fontId="8" fillId="0" borderId="0" xfId="203" applyNumberFormat="1" applyFont="1" applyFill="1" applyBorder="1" applyAlignment="1">
      <alignment vertical="center"/>
      <protection/>
    </xf>
    <xf numFmtId="38" fontId="8" fillId="0" borderId="7" xfId="203" applyNumberFormat="1" applyFont="1" applyFill="1" applyBorder="1" applyAlignment="1">
      <alignment vertical="center"/>
      <protection/>
    </xf>
    <xf numFmtId="0" fontId="0" fillId="5" borderId="0" xfId="0" applyFill="1" applyAlignment="1">
      <alignment/>
    </xf>
    <xf numFmtId="37" fontId="7" fillId="0" borderId="0" xfId="203" applyFont="1" applyBorder="1" applyAlignment="1">
      <alignment horizontal="centerContinuous" vertical="center"/>
      <protection/>
    </xf>
    <xf numFmtId="0" fontId="4" fillId="0" borderId="0" xfId="0" applyFont="1" applyAlignment="1">
      <alignment/>
    </xf>
    <xf numFmtId="38" fontId="4" fillId="0" borderId="3" xfId="15" applyNumberFormat="1" applyFont="1" applyBorder="1" applyAlignment="1" applyProtection="1">
      <alignment horizontal="fill"/>
      <protection/>
    </xf>
    <xf numFmtId="38" fontId="23" fillId="0" borderId="7" xfId="15" applyNumberFormat="1" applyFont="1" applyBorder="1" applyAlignment="1" applyProtection="1">
      <alignment/>
      <protection/>
    </xf>
    <xf numFmtId="38" fontId="4" fillId="0" borderId="4" xfId="15" applyNumberFormat="1" applyFont="1" applyBorder="1" applyAlignment="1" applyProtection="1">
      <alignment/>
      <protection/>
    </xf>
    <xf numFmtId="38" fontId="23" fillId="0" borderId="7" xfId="15" applyNumberFormat="1" applyFont="1" applyBorder="1" applyAlignment="1" applyProtection="1">
      <alignment horizontal="right"/>
      <protection/>
    </xf>
    <xf numFmtId="38" fontId="4" fillId="0" borderId="7" xfId="15" applyNumberFormat="1" applyFont="1" applyBorder="1" applyAlignment="1" applyProtection="1">
      <alignment horizontal="right"/>
      <protection/>
    </xf>
    <xf numFmtId="38" fontId="4" fillId="0" borderId="7" xfId="15" applyNumberFormat="1" applyFont="1" applyBorder="1" applyAlignment="1" applyProtection="1">
      <alignment/>
      <protection/>
    </xf>
    <xf numFmtId="38" fontId="4" fillId="0" borderId="7" xfId="15" applyNumberFormat="1" applyFont="1" applyBorder="1" applyAlignment="1">
      <alignment/>
    </xf>
    <xf numFmtId="38" fontId="23" fillId="0" borderId="7" xfId="15" applyNumberFormat="1" applyFont="1" applyBorder="1" applyAlignment="1">
      <alignment/>
    </xf>
    <xf numFmtId="38" fontId="4" fillId="0" borderId="3" xfId="15" applyNumberFormat="1" applyFont="1" applyBorder="1" applyAlignment="1">
      <alignment/>
    </xf>
    <xf numFmtId="38" fontId="23" fillId="0" borderId="6" xfId="15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38" fontId="4" fillId="0" borderId="6" xfId="15" applyNumberFormat="1" applyFont="1" applyBorder="1" applyAlignment="1" applyProtection="1">
      <alignment horizontal="fill"/>
      <protection/>
    </xf>
    <xf numFmtId="38" fontId="4" fillId="0" borderId="2" xfId="60" applyNumberFormat="1" applyFont="1" applyBorder="1" applyAlignment="1" applyProtection="1">
      <alignment/>
      <protection/>
    </xf>
    <xf numFmtId="38" fontId="23" fillId="0" borderId="6" xfId="15" applyNumberFormat="1" applyFont="1" applyBorder="1" applyAlignment="1" applyProtection="1">
      <alignment horizontal="right"/>
      <protection/>
    </xf>
    <xf numFmtId="38" fontId="4" fillId="0" borderId="6" xfId="15" applyNumberFormat="1" applyFont="1" applyBorder="1" applyAlignment="1" applyProtection="1">
      <alignment horizontal="right"/>
      <protection/>
    </xf>
    <xf numFmtId="38" fontId="4" fillId="0" borderId="6" xfId="15" applyNumberFormat="1" applyFont="1" applyBorder="1" applyAlignment="1" applyProtection="1">
      <alignment/>
      <protection/>
    </xf>
    <xf numFmtId="38" fontId="4" fillId="0" borderId="6" xfId="15" applyNumberFormat="1" applyFont="1" applyBorder="1" applyAlignment="1">
      <alignment/>
    </xf>
    <xf numFmtId="38" fontId="23" fillId="0" borderId="6" xfId="15" applyNumberFormat="1" applyFont="1" applyBorder="1" applyAlignment="1">
      <alignment/>
    </xf>
    <xf numFmtId="38" fontId="23" fillId="0" borderId="4" xfId="15" applyNumberFormat="1" applyFont="1" applyBorder="1" applyAlignment="1" applyProtection="1">
      <alignment/>
      <protection/>
    </xf>
    <xf numFmtId="0" fontId="6" fillId="0" borderId="2" xfId="15" applyNumberFormat="1" applyFont="1" applyBorder="1" applyAlignment="1">
      <alignment horizontal="center"/>
    </xf>
    <xf numFmtId="38" fontId="6" fillId="0" borderId="4" xfId="15" applyNumberFormat="1" applyFont="1" applyBorder="1" applyAlignment="1">
      <alignment horizontal="center"/>
    </xf>
    <xf numFmtId="38" fontId="23" fillId="0" borderId="6" xfId="15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171" fontId="8" fillId="0" borderId="9" xfId="15" applyFont="1" applyFill="1" applyBorder="1" applyAlignment="1" applyProtection="1">
      <alignment horizontal="fill" vertical="center"/>
      <protection/>
    </xf>
    <xf numFmtId="0" fontId="0" fillId="0" borderId="0" xfId="0" applyAlignment="1">
      <alignment horizontal="left"/>
    </xf>
    <xf numFmtId="38" fontId="4" fillId="0" borderId="0" xfId="15" applyNumberFormat="1" applyFont="1" applyBorder="1" applyAlignment="1" applyProtection="1" quotePrefix="1">
      <alignment horizontal="left"/>
      <protection/>
    </xf>
    <xf numFmtId="0" fontId="0" fillId="0" borderId="4" xfId="0" applyBorder="1" applyAlignment="1">
      <alignment/>
    </xf>
    <xf numFmtId="190" fontId="8" fillId="0" borderId="7" xfId="15" applyNumberFormat="1" applyFont="1" applyFill="1" applyBorder="1" applyAlignment="1" applyProtection="1">
      <alignment horizontal="fill" vertical="center"/>
      <protection/>
    </xf>
    <xf numFmtId="38" fontId="4" fillId="0" borderId="0" xfId="202" applyNumberFormat="1" applyFont="1" applyAlignment="1">
      <alignment/>
      <protection/>
    </xf>
    <xf numFmtId="38" fontId="4" fillId="0" borderId="0" xfId="202" applyNumberFormat="1" applyFont="1" applyBorder="1" applyAlignment="1">
      <alignment/>
      <protection/>
    </xf>
    <xf numFmtId="37" fontId="3" fillId="0" borderId="0" xfId="203" applyFont="1" applyFill="1" applyBorder="1" applyAlignment="1">
      <alignment vertical="center"/>
      <protection/>
    </xf>
    <xf numFmtId="37" fontId="3" fillId="0" borderId="0" xfId="203" applyFont="1" applyFill="1" applyAlignment="1">
      <alignment vertical="center"/>
      <protection/>
    </xf>
    <xf numFmtId="0" fontId="4" fillId="0" borderId="0" xfId="60" applyNumberFormat="1" applyFont="1" applyFill="1" applyAlignment="1">
      <alignment/>
    </xf>
    <xf numFmtId="38" fontId="4" fillId="0" borderId="7" xfId="60" applyNumberFormat="1" applyFont="1" applyFill="1" applyBorder="1" applyAlignment="1" applyProtection="1">
      <alignment/>
      <protection/>
    </xf>
    <xf numFmtId="37" fontId="4" fillId="0" borderId="0" xfId="203" applyFont="1" applyFill="1" applyAlignment="1">
      <alignment vertical="center"/>
      <protection/>
    </xf>
    <xf numFmtId="37" fontId="7" fillId="0" borderId="4" xfId="203" applyFont="1" applyBorder="1" applyAlignment="1" applyProtection="1" quotePrefix="1">
      <alignment horizontal="center" vertical="center"/>
      <protection/>
    </xf>
    <xf numFmtId="171" fontId="4" fillId="0" borderId="0" xfId="15" applyFont="1" applyAlignment="1">
      <alignment/>
    </xf>
    <xf numFmtId="171" fontId="3" fillId="0" borderId="0" xfId="15" applyFont="1" applyAlignment="1">
      <alignment/>
    </xf>
    <xf numFmtId="175" fontId="3" fillId="0" borderId="0" xfId="203" applyNumberFormat="1" applyFont="1">
      <alignment/>
      <protection/>
    </xf>
    <xf numFmtId="358" fontId="8" fillId="0" borderId="0" xfId="15" applyNumberFormat="1" applyFont="1" applyAlignment="1">
      <alignment/>
    </xf>
    <xf numFmtId="190" fontId="4" fillId="0" borderId="0" xfId="15" applyNumberFormat="1" applyFont="1" applyBorder="1" applyAlignment="1">
      <alignment/>
    </xf>
    <xf numFmtId="171" fontId="0" fillId="0" borderId="0" xfId="15" applyAlignment="1">
      <alignment/>
    </xf>
    <xf numFmtId="37" fontId="8" fillId="0" borderId="0" xfId="203" applyFont="1" applyFill="1" applyAlignment="1">
      <alignment vertical="center"/>
      <protection/>
    </xf>
    <xf numFmtId="0" fontId="4" fillId="0" borderId="22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 quotePrefix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0" xfId="60" applyNumberFormat="1" applyFont="1" applyFill="1" applyAlignment="1">
      <alignment horizontal="center"/>
    </xf>
    <xf numFmtId="0" fontId="4" fillId="0" borderId="0" xfId="15" applyNumberFormat="1" applyFont="1" applyFill="1" applyBorder="1" applyAlignment="1" quotePrefix="1">
      <alignment horizontal="center"/>
    </xf>
    <xf numFmtId="0" fontId="6" fillId="0" borderId="0" xfId="60" applyNumberFormat="1" applyFont="1" applyFill="1" applyAlignment="1" applyProtection="1">
      <alignment horizontal="center"/>
      <protection/>
    </xf>
    <xf numFmtId="0" fontId="4" fillId="0" borderId="0" xfId="202" applyNumberFormat="1" applyFont="1" applyFill="1" applyBorder="1" applyAlignment="1">
      <alignment/>
      <protection/>
    </xf>
    <xf numFmtId="37" fontId="8" fillId="0" borderId="0" xfId="203" applyFont="1" applyFill="1" applyBorder="1" applyAlignment="1">
      <alignment vertical="center"/>
      <protection/>
    </xf>
    <xf numFmtId="37" fontId="4" fillId="0" borderId="0" xfId="203" applyFont="1" applyFill="1" applyAlignment="1">
      <alignment horizontal="center" vertical="center"/>
      <protection/>
    </xf>
    <xf numFmtId="18" fontId="4" fillId="0" borderId="0" xfId="203" applyNumberFormat="1" applyFont="1" applyFill="1" applyAlignment="1">
      <alignment horizontal="center" vertical="center"/>
      <protection/>
    </xf>
    <xf numFmtId="15" fontId="4" fillId="0" borderId="0" xfId="203" applyNumberFormat="1" applyFont="1" applyFill="1" applyAlignment="1">
      <alignment horizontal="center" vertical="center"/>
      <protection/>
    </xf>
    <xf numFmtId="172" fontId="4" fillId="0" borderId="0" xfId="203" applyNumberFormat="1" applyFont="1" applyFill="1" applyAlignment="1" applyProtection="1">
      <alignment horizontal="center" vertical="center"/>
      <protection/>
    </xf>
    <xf numFmtId="37" fontId="4" fillId="0" borderId="0" xfId="203" applyFont="1" applyFill="1" applyAlignment="1">
      <alignment horizontal="center"/>
      <protection/>
    </xf>
    <xf numFmtId="0" fontId="6" fillId="0" borderId="0" xfId="60" applyNumberFormat="1" applyFont="1" applyFill="1" applyAlignment="1" applyProtection="1">
      <alignment/>
      <protection/>
    </xf>
    <xf numFmtId="38" fontId="4" fillId="0" borderId="0" xfId="60" applyNumberFormat="1" applyFont="1" applyFill="1" applyAlignment="1" applyProtection="1">
      <alignment/>
      <protection/>
    </xf>
    <xf numFmtId="40" fontId="4" fillId="0" borderId="0" xfId="60" applyNumberFormat="1" applyFont="1" applyFill="1" applyAlignment="1">
      <alignment/>
    </xf>
    <xf numFmtId="38" fontId="4" fillId="0" borderId="0" xfId="202" applyNumberFormat="1" applyFont="1" applyFill="1" applyAlignment="1">
      <alignment/>
      <protection/>
    </xf>
    <xf numFmtId="0" fontId="4" fillId="0" borderId="0" xfId="202" applyNumberFormat="1" applyFont="1" applyFill="1" applyAlignment="1">
      <alignment/>
      <protection/>
    </xf>
    <xf numFmtId="38" fontId="4" fillId="0" borderId="6" xfId="61" applyNumberFormat="1" applyFont="1" applyBorder="1" applyAlignment="1" applyProtection="1" quotePrefix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90" fontId="0" fillId="0" borderId="0" xfId="0" applyNumberFormat="1" applyBorder="1" applyAlignment="1">
      <alignment/>
    </xf>
    <xf numFmtId="37" fontId="7" fillId="0" borderId="0" xfId="202" applyFont="1" applyBorder="1" applyAlignment="1" applyProtection="1">
      <alignment horizontal="center" vertical="center"/>
      <protection/>
    </xf>
    <xf numFmtId="0" fontId="6" fillId="0" borderId="0" xfId="60" applyNumberFormat="1" applyFont="1" applyBorder="1" applyAlignment="1" applyProtection="1">
      <alignment horizontal="center"/>
      <protection/>
    </xf>
    <xf numFmtId="37" fontId="7" fillId="0" borderId="0" xfId="202" applyFont="1" applyBorder="1" applyAlignment="1" applyProtection="1" quotePrefix="1">
      <alignment horizontal="center" vertical="center"/>
      <protection/>
    </xf>
    <xf numFmtId="38" fontId="6" fillId="0" borderId="0" xfId="60" applyNumberFormat="1" applyFont="1" applyBorder="1" applyAlignment="1" applyProtection="1">
      <alignment/>
      <protection/>
    </xf>
    <xf numFmtId="38" fontId="4" fillId="0" borderId="0" xfId="60" applyNumberFormat="1" applyFont="1" applyBorder="1" applyAlignment="1">
      <alignment/>
    </xf>
    <xf numFmtId="38" fontId="4" fillId="0" borderId="0" xfId="60" applyNumberFormat="1" applyFont="1" applyFill="1" applyBorder="1" applyAlignment="1" applyProtection="1">
      <alignment/>
      <protection/>
    </xf>
    <xf numFmtId="39" fontId="8" fillId="0" borderId="0" xfId="203" applyNumberFormat="1" applyFont="1" applyAlignment="1">
      <alignment vertical="center"/>
      <protection/>
    </xf>
    <xf numFmtId="38" fontId="6" fillId="0" borderId="13" xfId="61" applyNumberFormat="1" applyFont="1" applyFill="1" applyBorder="1" applyAlignment="1" applyProtection="1">
      <alignment vertical="center"/>
      <protection/>
    </xf>
    <xf numFmtId="38" fontId="4" fillId="0" borderId="6" xfId="61" applyNumberFormat="1" applyFont="1" applyFill="1" applyBorder="1" applyAlignment="1" applyProtection="1">
      <alignment vertical="center"/>
      <protection/>
    </xf>
    <xf numFmtId="38" fontId="4" fillId="0" borderId="4" xfId="61" applyNumberFormat="1" applyFont="1" applyFill="1" applyBorder="1" applyAlignment="1" applyProtection="1">
      <alignment vertical="center"/>
      <protection/>
    </xf>
    <xf numFmtId="38" fontId="4" fillId="0" borderId="0" xfId="61" applyNumberFormat="1" applyFont="1" applyFill="1" applyAlignment="1" applyProtection="1">
      <alignment vertical="center"/>
      <protection/>
    </xf>
    <xf numFmtId="38" fontId="6" fillId="0" borderId="6" xfId="61" applyNumberFormat="1" applyFont="1" applyFill="1" applyBorder="1" applyAlignment="1" applyProtection="1">
      <alignment vertical="center"/>
      <protection/>
    </xf>
    <xf numFmtId="38" fontId="4" fillId="0" borderId="0" xfId="61" applyNumberFormat="1" applyFont="1" applyFill="1" applyBorder="1" applyAlignment="1" applyProtection="1">
      <alignment vertical="center"/>
      <protection/>
    </xf>
    <xf numFmtId="38" fontId="4" fillId="0" borderId="5" xfId="61" applyNumberFormat="1" applyFont="1" applyFill="1" applyBorder="1" applyAlignment="1" applyProtection="1">
      <alignment vertical="center"/>
      <protection/>
    </xf>
    <xf numFmtId="171" fontId="4" fillId="0" borderId="0" xfId="15" applyFont="1" applyAlignment="1" applyProtection="1">
      <alignment/>
      <protection/>
    </xf>
    <xf numFmtId="171" fontId="4" fillId="0" borderId="0" xfId="15" applyFont="1" applyAlignment="1">
      <alignment/>
    </xf>
    <xf numFmtId="171" fontId="4" fillId="0" borderId="0" xfId="15" applyFont="1" applyFill="1" applyAlignment="1" applyProtection="1">
      <alignment/>
      <protection/>
    </xf>
    <xf numFmtId="171" fontId="4" fillId="0" borderId="0" xfId="15" applyFont="1" applyBorder="1" applyAlignment="1">
      <alignment/>
    </xf>
    <xf numFmtId="190" fontId="4" fillId="0" borderId="0" xfId="15" applyNumberFormat="1" applyFont="1" applyAlignment="1">
      <alignment/>
    </xf>
    <xf numFmtId="190" fontId="4" fillId="0" borderId="0" xfId="15" applyNumberFormat="1" applyFont="1" applyFill="1" applyAlignment="1">
      <alignment/>
    </xf>
    <xf numFmtId="38" fontId="8" fillId="0" borderId="21" xfId="60" applyNumberFormat="1" applyFont="1" applyBorder="1" applyAlignment="1">
      <alignment/>
    </xf>
    <xf numFmtId="38" fontId="8" fillId="0" borderId="22" xfId="60" applyNumberFormat="1" applyFont="1" applyBorder="1" applyAlignment="1">
      <alignment/>
    </xf>
    <xf numFmtId="38" fontId="8" fillId="0" borderId="5" xfId="60" applyNumberFormat="1" applyFont="1" applyBorder="1" applyAlignment="1">
      <alignment/>
    </xf>
    <xf numFmtId="38" fontId="8" fillId="0" borderId="5" xfId="60" applyNumberFormat="1" applyFont="1" applyBorder="1" applyAlignment="1">
      <alignment horizontal="center"/>
    </xf>
    <xf numFmtId="38" fontId="6" fillId="0" borderId="13" xfId="15" applyNumberFormat="1" applyFont="1" applyBorder="1" applyAlignment="1" applyProtection="1" quotePrefix="1">
      <alignment horizontal="left"/>
      <protection/>
    </xf>
    <xf numFmtId="38" fontId="23" fillId="0" borderId="0" xfId="15" applyNumberFormat="1" applyFont="1" applyBorder="1" applyAlignment="1" applyProtection="1">
      <alignment/>
      <protection/>
    </xf>
    <xf numFmtId="38" fontId="8" fillId="6" borderId="13" xfId="60" applyNumberFormat="1" applyFont="1" applyFill="1" applyBorder="1" applyAlignment="1" applyProtection="1">
      <alignment/>
      <protection/>
    </xf>
    <xf numFmtId="38" fontId="8" fillId="6" borderId="0" xfId="60" applyNumberFormat="1" applyFont="1" applyFill="1" applyBorder="1" applyAlignment="1" applyProtection="1">
      <alignment/>
      <protection/>
    </xf>
    <xf numFmtId="38" fontId="8" fillId="6" borderId="7" xfId="60" applyNumberFormat="1" applyFont="1" applyFill="1" applyBorder="1" applyAlignment="1" applyProtection="1">
      <alignment/>
      <protection/>
    </xf>
    <xf numFmtId="38" fontId="8" fillId="6" borderId="7" xfId="60" applyNumberFormat="1" applyFont="1" applyFill="1" applyBorder="1" applyAlignment="1" applyProtection="1" quotePrefix="1">
      <alignment horizontal="center"/>
      <protection/>
    </xf>
    <xf numFmtId="38" fontId="4" fillId="0" borderId="13" xfId="15" applyNumberFormat="1" applyFont="1" applyBorder="1" applyAlignment="1" applyProtection="1" quotePrefix="1">
      <alignment horizontal="left"/>
      <protection/>
    </xf>
    <xf numFmtId="40" fontId="4" fillId="0" borderId="23" xfId="60" applyNumberFormat="1" applyFont="1" applyBorder="1" applyAlignment="1">
      <alignment/>
    </xf>
    <xf numFmtId="0" fontId="4" fillId="0" borderId="0" xfId="60" applyNumberFormat="1" applyFont="1" applyBorder="1" applyAlignment="1">
      <alignment/>
    </xf>
    <xf numFmtId="37" fontId="4" fillId="0" borderId="3" xfId="203" applyFont="1" applyBorder="1" applyAlignment="1">
      <alignment vertical="center"/>
      <protection/>
    </xf>
    <xf numFmtId="37" fontId="4" fillId="0" borderId="19" xfId="203" applyFont="1" applyBorder="1" applyAlignment="1">
      <alignment vertical="center"/>
      <protection/>
    </xf>
    <xf numFmtId="37" fontId="7" fillId="0" borderId="21" xfId="203" applyFont="1" applyBorder="1" applyAlignment="1" applyProtection="1">
      <alignment horizontal="left" vertical="center"/>
      <protection/>
    </xf>
    <xf numFmtId="37" fontId="6" fillId="0" borderId="0" xfId="203" applyFont="1" applyBorder="1">
      <alignment/>
      <protection/>
    </xf>
    <xf numFmtId="38" fontId="4" fillId="0" borderId="2" xfId="61" applyNumberFormat="1" applyFont="1" applyBorder="1" applyAlignment="1" applyProtection="1">
      <alignment horizontal="fill" vertical="center"/>
      <protection/>
    </xf>
    <xf numFmtId="0" fontId="6" fillId="0" borderId="6" xfId="60" applyNumberFormat="1" applyFont="1" applyBorder="1" applyAlignment="1" applyProtection="1">
      <alignment horizontal="center"/>
      <protection/>
    </xf>
    <xf numFmtId="38" fontId="4" fillId="0" borderId="13" xfId="60" applyNumberFormat="1" applyFont="1" applyBorder="1" applyAlignment="1" applyProtection="1">
      <alignment/>
      <protection/>
    </xf>
    <xf numFmtId="37" fontId="4" fillId="0" borderId="6" xfId="203" applyFont="1" applyBorder="1">
      <alignment/>
      <protection/>
    </xf>
    <xf numFmtId="37" fontId="4" fillId="0" borderId="13" xfId="203" applyFont="1" applyBorder="1">
      <alignment/>
      <protection/>
    </xf>
    <xf numFmtId="37" fontId="4" fillId="0" borderId="4" xfId="203" applyFont="1" applyBorder="1">
      <alignment/>
      <protection/>
    </xf>
    <xf numFmtId="37" fontId="7" fillId="0" borderId="6" xfId="202" applyFont="1" applyBorder="1" applyAlignment="1" applyProtection="1">
      <alignment horizontal="center" vertical="center"/>
      <protection/>
    </xf>
    <xf numFmtId="38" fontId="6" fillId="0" borderId="6" xfId="15" applyNumberFormat="1" applyFont="1" applyBorder="1" applyAlignment="1">
      <alignment horizontal="center"/>
    </xf>
    <xf numFmtId="37" fontId="7" fillId="0" borderId="6" xfId="203" applyFont="1" applyBorder="1" applyAlignment="1" applyProtection="1">
      <alignment horizontal="center" vertical="center"/>
      <protection/>
    </xf>
    <xf numFmtId="38" fontId="4" fillId="0" borderId="6" xfId="60" applyNumberFormat="1" applyFont="1" applyFill="1" applyBorder="1" applyAlignment="1" applyProtection="1">
      <alignment/>
      <protection/>
    </xf>
    <xf numFmtId="38" fontId="4" fillId="0" borderId="2" xfId="61" applyNumberFormat="1" applyFont="1" applyBorder="1" applyAlignment="1" applyProtection="1">
      <alignment horizontal="right" vertical="center"/>
      <protection/>
    </xf>
    <xf numFmtId="37" fontId="4" fillId="0" borderId="24" xfId="203" applyFont="1" applyBorder="1">
      <alignment/>
      <protection/>
    </xf>
    <xf numFmtId="37" fontId="4" fillId="0" borderId="18" xfId="203" applyFont="1" applyBorder="1" applyAlignment="1">
      <alignment vertical="center"/>
      <protection/>
    </xf>
    <xf numFmtId="38" fontId="6" fillId="0" borderId="2" xfId="61" applyNumberFormat="1" applyFont="1" applyBorder="1" applyAlignment="1" applyProtection="1">
      <alignment vertical="center"/>
      <protection/>
    </xf>
    <xf numFmtId="0" fontId="4" fillId="0" borderId="6" xfId="60" applyNumberFormat="1" applyFont="1" applyBorder="1" applyAlignment="1">
      <alignment/>
    </xf>
    <xf numFmtId="37" fontId="4" fillId="0" borderId="10" xfId="203" applyFont="1" applyBorder="1" applyAlignment="1">
      <alignment vertical="center"/>
      <protection/>
    </xf>
    <xf numFmtId="0" fontId="0" fillId="0" borderId="6" xfId="0" applyBorder="1" applyAlignment="1">
      <alignment/>
    </xf>
    <xf numFmtId="37" fontId="6" fillId="0" borderId="6" xfId="203" applyFont="1" applyBorder="1">
      <alignment/>
      <protection/>
    </xf>
    <xf numFmtId="0" fontId="4" fillId="0" borderId="13" xfId="60" applyNumberFormat="1" applyFont="1" applyBorder="1" applyAlignment="1">
      <alignment/>
    </xf>
    <xf numFmtId="0" fontId="0" fillId="0" borderId="13" xfId="0" applyBorder="1" applyAlignment="1">
      <alignment/>
    </xf>
    <xf numFmtId="37" fontId="6" fillId="0" borderId="13" xfId="203" applyFont="1" applyBorder="1">
      <alignment/>
      <protection/>
    </xf>
    <xf numFmtId="37" fontId="22" fillId="0" borderId="6" xfId="202" applyFont="1" applyBorder="1" applyAlignment="1" applyProtection="1">
      <alignment horizontal="right" vertical="center"/>
      <protection/>
    </xf>
    <xf numFmtId="49" fontId="4" fillId="0" borderId="0" xfId="60" applyNumberFormat="1" applyFont="1" applyAlignment="1">
      <alignment/>
    </xf>
    <xf numFmtId="190" fontId="4" fillId="0" borderId="0" xfId="202" applyNumberFormat="1" applyFont="1" applyAlignment="1">
      <alignment/>
      <protection/>
    </xf>
    <xf numFmtId="38" fontId="4" fillId="0" borderId="16" xfId="202" applyNumberFormat="1" applyFont="1" applyBorder="1" applyAlignment="1">
      <alignment/>
      <protection/>
    </xf>
    <xf numFmtId="190" fontId="25" fillId="0" borderId="0" xfId="15" applyNumberFormat="1" applyFont="1" applyFill="1" applyAlignment="1">
      <alignment/>
    </xf>
    <xf numFmtId="190" fontId="25" fillId="0" borderId="0" xfId="15" applyNumberFormat="1" applyFont="1" applyFill="1" applyAlignment="1">
      <alignment/>
    </xf>
    <xf numFmtId="0" fontId="4" fillId="0" borderId="0" xfId="202" applyNumberFormat="1" applyFont="1" applyAlignment="1" quotePrefix="1">
      <alignment/>
      <protection/>
    </xf>
    <xf numFmtId="171" fontId="25" fillId="0" borderId="0" xfId="15" applyFont="1" applyFill="1" applyAlignment="1" quotePrefix="1">
      <alignment/>
    </xf>
    <xf numFmtId="0" fontId="0" fillId="3" borderId="0" xfId="0" applyFill="1" applyAlignment="1">
      <alignment/>
    </xf>
    <xf numFmtId="0" fontId="13" fillId="0" borderId="0" xfId="0" applyFont="1" applyFill="1" applyAlignment="1">
      <alignment horizontal="center"/>
    </xf>
    <xf numFmtId="38" fontId="4" fillId="0" borderId="8" xfId="61" applyNumberFormat="1" applyFont="1" applyFill="1" applyBorder="1" applyAlignment="1" applyProtection="1">
      <alignment vertical="center"/>
      <protection/>
    </xf>
    <xf numFmtId="38" fontId="4" fillId="4" borderId="8" xfId="61" applyNumberFormat="1" applyFont="1" applyFill="1" applyBorder="1" applyAlignment="1" applyProtection="1">
      <alignment vertical="center"/>
      <protection/>
    </xf>
    <xf numFmtId="37" fontId="4" fillId="0" borderId="5" xfId="203" applyFont="1" applyBorder="1" applyAlignment="1">
      <alignment vertical="center"/>
      <protection/>
    </xf>
    <xf numFmtId="38" fontId="4" fillId="0" borderId="6" xfId="60" applyNumberFormat="1" applyFont="1" applyBorder="1" applyAlignment="1" applyProtection="1">
      <alignment horizontal="right"/>
      <protection/>
    </xf>
    <xf numFmtId="37" fontId="4" fillId="0" borderId="6" xfId="203" applyFont="1" applyBorder="1" applyAlignment="1">
      <alignment horizontal="right"/>
      <protection/>
    </xf>
    <xf numFmtId="0" fontId="4" fillId="0" borderId="6" xfId="60" applyNumberFormat="1" applyFont="1" applyBorder="1" applyAlignment="1">
      <alignment horizontal="right"/>
    </xf>
    <xf numFmtId="9" fontId="4" fillId="0" borderId="0" xfId="235" applyFont="1" applyBorder="1" applyAlignment="1">
      <alignment/>
    </xf>
    <xf numFmtId="37" fontId="4" fillId="0" borderId="12" xfId="203" applyFont="1" applyBorder="1">
      <alignment/>
      <protection/>
    </xf>
    <xf numFmtId="0" fontId="0" fillId="0" borderId="5" xfId="0" applyBorder="1" applyAlignment="1">
      <alignment/>
    </xf>
    <xf numFmtId="37" fontId="7" fillId="0" borderId="7" xfId="203" applyFont="1" applyBorder="1" applyAlignment="1" applyProtection="1">
      <alignment horizontal="center" vertical="center"/>
      <protection/>
    </xf>
    <xf numFmtId="37" fontId="7" fillId="0" borderId="13" xfId="203" applyFont="1" applyBorder="1" applyAlignment="1" applyProtection="1">
      <alignment horizontal="center" vertical="center"/>
      <protection/>
    </xf>
    <xf numFmtId="37" fontId="7" fillId="0" borderId="7" xfId="203" applyFont="1" applyBorder="1" applyAlignment="1" applyProtection="1" quotePrefix="1">
      <alignment horizontal="center" vertical="center"/>
      <protection/>
    </xf>
    <xf numFmtId="37" fontId="7" fillId="0" borderId="0" xfId="203" applyFont="1" applyBorder="1" applyAlignment="1" applyProtection="1" quotePrefix="1">
      <alignment horizontal="center" vertical="center"/>
      <protection/>
    </xf>
    <xf numFmtId="37" fontId="7" fillId="0" borderId="0" xfId="203" applyFont="1" applyBorder="1" applyAlignment="1">
      <alignment vertical="center"/>
      <protection/>
    </xf>
    <xf numFmtId="37" fontId="22" fillId="0" borderId="6" xfId="202" applyFont="1" applyBorder="1" applyAlignment="1" applyProtection="1" quotePrefix="1">
      <alignment horizontal="right" vertical="center"/>
      <protection/>
    </xf>
    <xf numFmtId="38" fontId="6" fillId="0" borderId="20" xfId="60" applyNumberFormat="1" applyFont="1" applyBorder="1" applyAlignment="1" applyProtection="1">
      <alignment/>
      <protection/>
    </xf>
    <xf numFmtId="38" fontId="4" fillId="0" borderId="13" xfId="202" applyNumberFormat="1" applyFont="1" applyBorder="1" applyAlignment="1">
      <alignment/>
      <protection/>
    </xf>
    <xf numFmtId="38" fontId="6" fillId="0" borderId="13" xfId="60" applyNumberFormat="1" applyFont="1" applyBorder="1" applyAlignment="1" applyProtection="1">
      <alignment/>
      <protection/>
    </xf>
    <xf numFmtId="38" fontId="4" fillId="0" borderId="13" xfId="60" applyNumberFormat="1" applyFont="1" applyBorder="1" applyAlignment="1">
      <alignment/>
    </xf>
    <xf numFmtId="38" fontId="4" fillId="0" borderId="17" xfId="60" applyNumberFormat="1" applyFont="1" applyBorder="1" applyAlignment="1">
      <alignment/>
    </xf>
    <xf numFmtId="38" fontId="4" fillId="0" borderId="12" xfId="60" applyNumberFormat="1" applyFont="1" applyBorder="1" applyAlignment="1" applyProtection="1">
      <alignment/>
      <protection/>
    </xf>
    <xf numFmtId="0" fontId="6" fillId="0" borderId="13" xfId="202" applyNumberFormat="1" applyFont="1" applyBorder="1" applyAlignment="1">
      <alignment/>
      <protection/>
    </xf>
    <xf numFmtId="0" fontId="4" fillId="0" borderId="13" xfId="202" applyNumberFormat="1" applyFont="1" applyBorder="1" applyAlignment="1">
      <alignment/>
      <protection/>
    </xf>
    <xf numFmtId="37" fontId="4" fillId="0" borderId="14" xfId="203" applyFont="1" applyBorder="1" applyAlignment="1">
      <alignment vertical="center"/>
      <protection/>
    </xf>
    <xf numFmtId="38" fontId="6" fillId="0" borderId="14" xfId="61" applyNumberFormat="1" applyFont="1" applyBorder="1" applyAlignment="1" applyProtection="1">
      <alignment vertical="center"/>
      <protection/>
    </xf>
    <xf numFmtId="38" fontId="4" fillId="4" borderId="0" xfId="61" applyNumberFormat="1" applyFont="1" applyFill="1" applyBorder="1" applyAlignment="1" applyProtection="1">
      <alignment vertical="center"/>
      <protection/>
    </xf>
    <xf numFmtId="37" fontId="4" fillId="0" borderId="7" xfId="203" applyFont="1" applyBorder="1" applyAlignment="1">
      <alignment vertical="center"/>
      <protection/>
    </xf>
    <xf numFmtId="0" fontId="0" fillId="0" borderId="7" xfId="0" applyBorder="1" applyAlignment="1">
      <alignment/>
    </xf>
    <xf numFmtId="37" fontId="7" fillId="0" borderId="13" xfId="203" applyFont="1" applyBorder="1" applyAlignment="1" applyProtection="1">
      <alignment horizontal="left" vertical="center"/>
      <protection/>
    </xf>
    <xf numFmtId="37" fontId="4" fillId="0" borderId="21" xfId="203" applyFont="1" applyBorder="1">
      <alignment/>
      <protection/>
    </xf>
    <xf numFmtId="38" fontId="4" fillId="0" borderId="0" xfId="61" applyNumberFormat="1" applyFont="1" applyBorder="1" applyAlignment="1" applyProtection="1" quotePrefix="1">
      <alignment vertical="center"/>
      <protection/>
    </xf>
    <xf numFmtId="37" fontId="7" fillId="0" borderId="0" xfId="203" applyFont="1" applyFill="1" applyAlignment="1">
      <alignment vertical="center"/>
      <protection/>
    </xf>
    <xf numFmtId="37" fontId="4" fillId="0" borderId="0" xfId="203" applyFont="1" applyFill="1" applyBorder="1" applyAlignment="1">
      <alignment vertical="center"/>
      <protection/>
    </xf>
    <xf numFmtId="37" fontId="4" fillId="0" borderId="0" xfId="203" applyFont="1" applyFill="1" applyBorder="1">
      <alignment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37" fontId="7" fillId="0" borderId="0" xfId="203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0" xfId="0" applyFont="1" applyBorder="1" applyAlignment="1" quotePrefix="1">
      <alignment horizontal="left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14" fillId="0" borderId="0" xfId="0" applyFont="1" applyBorder="1" applyAlignment="1">
      <alignment/>
    </xf>
    <xf numFmtId="15" fontId="3" fillId="0" borderId="0" xfId="0" applyNumberFormat="1" applyFont="1" applyAlignment="1" quotePrefix="1">
      <alignment horizontal="center"/>
    </xf>
    <xf numFmtId="0" fontId="14" fillId="0" borderId="9" xfId="0" applyFont="1" applyBorder="1" applyAlignment="1">
      <alignment/>
    </xf>
    <xf numFmtId="0" fontId="0" fillId="0" borderId="21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15" xfId="0" applyFont="1" applyBorder="1" applyAlignment="1" quotePrefix="1">
      <alignment horizontal="left"/>
    </xf>
    <xf numFmtId="0" fontId="14" fillId="0" borderId="16" xfId="0" applyFont="1" applyBorder="1" applyAlignment="1">
      <alignment/>
    </xf>
    <xf numFmtId="0" fontId="0" fillId="0" borderId="16" xfId="0" applyFont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190" fontId="0" fillId="0" borderId="0" xfId="15" applyNumberFormat="1" applyFont="1" applyFill="1" applyAlignment="1">
      <alignment/>
    </xf>
    <xf numFmtId="189" fontId="0" fillId="0" borderId="0" xfId="15" applyNumberFormat="1" applyFont="1" applyFill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4" borderId="2" xfId="0" applyFont="1" applyFill="1" applyBorder="1" applyAlignment="1">
      <alignment horizontal="right"/>
    </xf>
    <xf numFmtId="190" fontId="0" fillId="4" borderId="6" xfId="15" applyNumberFormat="1" applyFont="1" applyFill="1" applyBorder="1" applyAlignment="1">
      <alignment/>
    </xf>
    <xf numFmtId="190" fontId="0" fillId="4" borderId="4" xfId="15" applyNumberFormat="1" applyFont="1" applyFill="1" applyBorder="1" applyAlignment="1">
      <alignment/>
    </xf>
    <xf numFmtId="190" fontId="0" fillId="4" borderId="2" xfId="15" applyNumberFormat="1" applyFont="1" applyFill="1" applyBorder="1" applyAlignment="1">
      <alignment/>
    </xf>
    <xf numFmtId="0" fontId="0" fillId="4" borderId="6" xfId="0" applyFont="1" applyFill="1" applyBorder="1" applyAlignment="1">
      <alignment/>
    </xf>
    <xf numFmtId="190" fontId="0" fillId="4" borderId="12" xfId="15" applyNumberFormat="1" applyFont="1" applyFill="1" applyBorder="1" applyAlignment="1">
      <alignment/>
    </xf>
    <xf numFmtId="190" fontId="0" fillId="4" borderId="12" xfId="15" applyNumberFormat="1" applyFont="1" applyFill="1" applyBorder="1" applyAlignment="1">
      <alignment horizontal="right"/>
    </xf>
    <xf numFmtId="189" fontId="0" fillId="4" borderId="2" xfId="15" applyNumberFormat="1" applyFont="1" applyFill="1" applyBorder="1" applyAlignment="1">
      <alignment/>
    </xf>
    <xf numFmtId="171" fontId="0" fillId="4" borderId="6" xfId="15" applyNumberFormat="1" applyFont="1" applyFill="1" applyBorder="1" applyAlignment="1">
      <alignment/>
    </xf>
    <xf numFmtId="189" fontId="0" fillId="4" borderId="4" xfId="15" applyNumberFormat="1" applyFont="1" applyFill="1" applyBorder="1" applyAlignment="1">
      <alignment/>
    </xf>
    <xf numFmtId="189" fontId="0" fillId="4" borderId="12" xfId="15" applyNumberFormat="1" applyFont="1" applyFill="1" applyBorder="1" applyAlignment="1">
      <alignment/>
    </xf>
    <xf numFmtId="190" fontId="0" fillId="4" borderId="20" xfId="15" applyNumberFormat="1" applyFont="1" applyFill="1" applyBorder="1" applyAlignment="1">
      <alignment/>
    </xf>
    <xf numFmtId="189" fontId="0" fillId="4" borderId="3" xfId="15" applyNumberFormat="1" applyFont="1" applyFill="1" applyBorder="1" applyAlignment="1">
      <alignment/>
    </xf>
    <xf numFmtId="190" fontId="0" fillId="4" borderId="21" xfId="15" applyNumberFormat="1" applyFont="1" applyFill="1" applyBorder="1" applyAlignment="1">
      <alignment/>
    </xf>
    <xf numFmtId="189" fontId="0" fillId="4" borderId="5" xfId="15" applyNumberFormat="1" applyFont="1" applyFill="1" applyBorder="1" applyAlignment="1">
      <alignment/>
    </xf>
    <xf numFmtId="196" fontId="0" fillId="4" borderId="20" xfId="15" applyNumberFormat="1" applyFont="1" applyFill="1" applyBorder="1" applyAlignment="1">
      <alignment/>
    </xf>
    <xf numFmtId="190" fontId="0" fillId="4" borderId="5" xfId="15" applyNumberFormat="1" applyFont="1" applyFill="1" applyBorder="1" applyAlignment="1">
      <alignment/>
    </xf>
    <xf numFmtId="171" fontId="0" fillId="4" borderId="15" xfId="15" applyNumberFormat="1" applyFont="1" applyFill="1" applyBorder="1" applyAlignment="1">
      <alignment/>
    </xf>
    <xf numFmtId="190" fontId="0" fillId="4" borderId="9" xfId="15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0" fillId="6" borderId="2" xfId="0" applyFont="1" applyFill="1" applyBorder="1" applyAlignment="1">
      <alignment horizontal="right"/>
    </xf>
    <xf numFmtId="190" fontId="0" fillId="6" borderId="6" xfId="15" applyNumberFormat="1" applyFont="1" applyFill="1" applyBorder="1" applyAlignment="1">
      <alignment/>
    </xf>
    <xf numFmtId="190" fontId="0" fillId="6" borderId="4" xfId="15" applyNumberFormat="1" applyFont="1" applyFill="1" applyBorder="1" applyAlignment="1">
      <alignment/>
    </xf>
    <xf numFmtId="190" fontId="0" fillId="6" borderId="2" xfId="15" applyNumberFormat="1" applyFont="1" applyFill="1" applyBorder="1" applyAlignment="1">
      <alignment/>
    </xf>
    <xf numFmtId="190" fontId="0" fillId="6" borderId="12" xfId="15" applyNumberFormat="1" applyFont="1" applyFill="1" applyBorder="1" applyAlignment="1">
      <alignment/>
    </xf>
    <xf numFmtId="190" fontId="0" fillId="6" borderId="12" xfId="15" applyNumberFormat="1" applyFont="1" applyFill="1" applyBorder="1" applyAlignment="1">
      <alignment horizontal="right"/>
    </xf>
    <xf numFmtId="189" fontId="0" fillId="6" borderId="2" xfId="15" applyNumberFormat="1" applyFont="1" applyFill="1" applyBorder="1" applyAlignment="1">
      <alignment/>
    </xf>
    <xf numFmtId="189" fontId="0" fillId="6" borderId="6" xfId="15" applyNumberFormat="1" applyFont="1" applyFill="1" applyBorder="1" applyAlignment="1">
      <alignment/>
    </xf>
    <xf numFmtId="171" fontId="0" fillId="6" borderId="6" xfId="15" applyFont="1" applyFill="1" applyBorder="1" applyAlignment="1">
      <alignment/>
    </xf>
    <xf numFmtId="189" fontId="0" fillId="6" borderId="4" xfId="15" applyNumberFormat="1" applyFont="1" applyFill="1" applyBorder="1" applyAlignment="1">
      <alignment/>
    </xf>
    <xf numFmtId="189" fontId="0" fillId="6" borderId="12" xfId="15" applyNumberFormat="1" applyFont="1" applyFill="1" applyBorder="1" applyAlignment="1">
      <alignment/>
    </xf>
    <xf numFmtId="190" fontId="0" fillId="6" borderId="20" xfId="15" applyNumberFormat="1" applyFont="1" applyFill="1" applyBorder="1" applyAlignment="1">
      <alignment/>
    </xf>
    <xf numFmtId="189" fontId="0" fillId="6" borderId="3" xfId="15" applyNumberFormat="1" applyFont="1" applyFill="1" applyBorder="1" applyAlignment="1">
      <alignment/>
    </xf>
    <xf numFmtId="196" fontId="0" fillId="6" borderId="20" xfId="15" applyNumberFormat="1" applyFont="1" applyFill="1" applyBorder="1" applyAlignment="1">
      <alignment/>
    </xf>
    <xf numFmtId="190" fontId="0" fillId="6" borderId="21" xfId="15" applyNumberFormat="1" applyFont="1" applyFill="1" applyBorder="1" applyAlignment="1">
      <alignment/>
    </xf>
    <xf numFmtId="190" fontId="0" fillId="6" borderId="5" xfId="15" applyNumberFormat="1" applyFont="1" applyFill="1" applyBorder="1" applyAlignment="1">
      <alignment/>
    </xf>
    <xf numFmtId="190" fontId="0" fillId="6" borderId="15" xfId="15" applyNumberFormat="1" applyFont="1" applyFill="1" applyBorder="1" applyAlignment="1">
      <alignment/>
    </xf>
    <xf numFmtId="190" fontId="0" fillId="6" borderId="9" xfId="15" applyNumberFormat="1" applyFont="1" applyFill="1" applyBorder="1" applyAlignment="1">
      <alignment/>
    </xf>
    <xf numFmtId="0" fontId="26" fillId="4" borderId="2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6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/>
    </xf>
    <xf numFmtId="14" fontId="27" fillId="4" borderId="6" xfId="0" applyNumberFormat="1" applyFont="1" applyFill="1" applyBorder="1" applyAlignment="1">
      <alignment horizontal="right"/>
    </xf>
    <xf numFmtId="14" fontId="27" fillId="6" borderId="6" xfId="0" applyNumberFormat="1" applyFont="1" applyFill="1" applyBorder="1" applyAlignment="1">
      <alignment horizontal="right"/>
    </xf>
    <xf numFmtId="0" fontId="11" fillId="4" borderId="6" xfId="0" applyFont="1" applyFill="1" applyBorder="1" applyAlignment="1">
      <alignment horizontal="right"/>
    </xf>
    <xf numFmtId="0" fontId="11" fillId="6" borderId="6" xfId="0" applyFont="1" applyFill="1" applyBorder="1" applyAlignment="1">
      <alignment horizontal="right"/>
    </xf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38" fontId="8" fillId="0" borderId="0" xfId="0" applyNumberFormat="1" applyFont="1" applyAlignment="1">
      <alignment/>
    </xf>
    <xf numFmtId="190" fontId="8" fillId="0" borderId="0" xfId="15" applyNumberFormat="1" applyFont="1" applyAlignment="1">
      <alignment/>
    </xf>
    <xf numFmtId="0" fontId="27" fillId="0" borderId="0" xfId="0" applyFont="1" applyAlignment="1">
      <alignment/>
    </xf>
    <xf numFmtId="190" fontId="8" fillId="0" borderId="0" xfId="0" applyNumberFormat="1" applyFont="1" applyAlignment="1">
      <alignment/>
    </xf>
    <xf numFmtId="38" fontId="4" fillId="0" borderId="0" xfId="61" applyNumberFormat="1" applyFont="1" applyBorder="1" applyAlignment="1" applyProtection="1">
      <alignment horizontal="right" vertical="center"/>
      <protection/>
    </xf>
    <xf numFmtId="37" fontId="4" fillId="0" borderId="16" xfId="203" applyFont="1" applyBorder="1" applyAlignment="1">
      <alignment vertical="center"/>
      <protection/>
    </xf>
    <xf numFmtId="0" fontId="28" fillId="0" borderId="0" xfId="0" applyFont="1" applyAlignment="1">
      <alignment/>
    </xf>
    <xf numFmtId="38" fontId="29" fillId="0" borderId="0" xfId="61" applyNumberFormat="1" applyFont="1" applyBorder="1" applyAlignment="1" applyProtection="1">
      <alignment horizontal="right" vertical="center"/>
      <protection/>
    </xf>
    <xf numFmtId="38" fontId="4" fillId="0" borderId="16" xfId="61" applyNumberFormat="1" applyFont="1" applyBorder="1" applyAlignment="1" applyProtection="1">
      <alignment horizontal="right" vertical="center"/>
      <protection/>
    </xf>
    <xf numFmtId="0" fontId="29" fillId="0" borderId="0" xfId="202" applyNumberFormat="1" applyFont="1" applyAlignment="1">
      <alignment/>
      <protection/>
    </xf>
    <xf numFmtId="38" fontId="0" fillId="0" borderId="0" xfId="0" applyNumberFormat="1" applyFill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 quotePrefix="1">
      <alignment/>
    </xf>
    <xf numFmtId="171" fontId="4" fillId="0" borderId="16" xfId="202" applyNumberFormat="1" applyFont="1" applyBorder="1" applyAlignment="1">
      <alignment/>
      <protection/>
    </xf>
    <xf numFmtId="0" fontId="27" fillId="0" borderId="0" xfId="0" applyFont="1" applyAlignment="1">
      <alignment horizontal="right"/>
    </xf>
    <xf numFmtId="14" fontId="27" fillId="0" borderId="0" xfId="0" applyNumberFormat="1" applyFont="1" applyAlignment="1">
      <alignment horizontal="right"/>
    </xf>
    <xf numFmtId="190" fontId="8" fillId="0" borderId="1" xfId="15" applyNumberFormat="1" applyFont="1" applyBorder="1" applyAlignment="1">
      <alignment/>
    </xf>
    <xf numFmtId="190" fontId="8" fillId="0" borderId="16" xfId="15" applyNumberFormat="1" applyFont="1" applyBorder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7" borderId="15" xfId="0" applyFont="1" applyFill="1" applyBorder="1" applyAlignment="1">
      <alignment/>
    </xf>
    <xf numFmtId="0" fontId="8" fillId="7" borderId="16" xfId="0" applyFont="1" applyFill="1" applyBorder="1" applyAlignment="1">
      <alignment/>
    </xf>
    <xf numFmtId="0" fontId="10" fillId="7" borderId="16" xfId="0" applyFont="1" applyFill="1" applyBorder="1" applyAlignment="1">
      <alignment/>
    </xf>
    <xf numFmtId="0" fontId="14" fillId="7" borderId="16" xfId="0" applyFont="1" applyFill="1" applyBorder="1" applyAlignment="1">
      <alignment/>
    </xf>
    <xf numFmtId="0" fontId="14" fillId="7" borderId="9" xfId="0" applyFont="1" applyFill="1" applyBorder="1" applyAlignment="1">
      <alignment/>
    </xf>
    <xf numFmtId="0" fontId="4" fillId="0" borderId="0" xfId="60" applyNumberFormat="1" applyFont="1" applyFill="1" applyAlignment="1" quotePrefix="1">
      <alignment horizontal="center"/>
    </xf>
    <xf numFmtId="37" fontId="22" fillId="0" borderId="0" xfId="203" applyFont="1" applyFill="1" applyBorder="1" applyAlignment="1" applyProtection="1">
      <alignment horizontal="center" vertical="center"/>
      <protection/>
    </xf>
    <xf numFmtId="171" fontId="2" fillId="0" borderId="0" xfId="15" applyFont="1" applyAlignment="1">
      <alignment/>
    </xf>
    <xf numFmtId="38" fontId="2" fillId="0" borderId="0" xfId="202" applyNumberFormat="1" applyFill="1" applyAlignment="1">
      <alignment/>
      <protection/>
    </xf>
    <xf numFmtId="38" fontId="2" fillId="0" borderId="0" xfId="202" applyNumberFormat="1" applyFont="1" applyFill="1" applyAlignment="1">
      <alignment/>
      <protection/>
    </xf>
    <xf numFmtId="37" fontId="22" fillId="0" borderId="0" xfId="203" applyFont="1" applyFill="1" applyBorder="1" applyAlignment="1">
      <alignment horizontal="centerContinuous" vertical="center"/>
      <protection/>
    </xf>
    <xf numFmtId="0" fontId="8" fillId="4" borderId="0" xfId="0" applyFont="1" applyFill="1" applyAlignment="1">
      <alignment/>
    </xf>
    <xf numFmtId="0" fontId="8" fillId="4" borderId="6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4" borderId="2" xfId="0" applyFont="1" applyFill="1" applyBorder="1" applyAlignment="1">
      <alignment/>
    </xf>
    <xf numFmtId="190" fontId="4" fillId="0" borderId="0" xfId="15" applyNumberFormat="1" applyFont="1" applyBorder="1" applyAlignment="1">
      <alignment/>
    </xf>
    <xf numFmtId="37" fontId="4" fillId="4" borderId="0" xfId="203" applyFont="1" applyFill="1" applyBorder="1">
      <alignment/>
      <protection/>
    </xf>
    <xf numFmtId="37" fontId="30" fillId="0" borderId="0" xfId="203" applyFont="1" applyBorder="1">
      <alignment/>
      <protection/>
    </xf>
    <xf numFmtId="38" fontId="4" fillId="4" borderId="10" xfId="61" applyNumberFormat="1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38" fontId="0" fillId="0" borderId="16" xfId="0" applyNumberFormat="1" applyBorder="1" applyAlignment="1">
      <alignment/>
    </xf>
    <xf numFmtId="38" fontId="4" fillId="0" borderId="0" xfId="61" applyNumberFormat="1" applyFont="1" applyBorder="1" applyAlignment="1" applyProtection="1">
      <alignment horizontal="left" vertical="center"/>
      <protection/>
    </xf>
    <xf numFmtId="38" fontId="29" fillId="0" borderId="0" xfId="61" applyNumberFormat="1" applyFont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190" fontId="0" fillId="0" borderId="0" xfId="15" applyNumberFormat="1" applyFont="1" applyAlignment="1">
      <alignment/>
    </xf>
    <xf numFmtId="171" fontId="8" fillId="0" borderId="0" xfId="15" applyNumberFormat="1" applyFont="1" applyAlignment="1">
      <alignment/>
    </xf>
    <xf numFmtId="38" fontId="4" fillId="5" borderId="4" xfId="61" applyNumberFormat="1" applyFont="1" applyFill="1" applyBorder="1" applyAlignment="1" applyProtection="1">
      <alignment vertical="center"/>
      <protection/>
    </xf>
    <xf numFmtId="38" fontId="8" fillId="0" borderId="0" xfId="60" applyNumberFormat="1" applyFont="1" applyBorder="1" applyAlignment="1" applyProtection="1" quotePrefix="1">
      <alignment horizontal="left"/>
      <protection/>
    </xf>
    <xf numFmtId="38" fontId="8" fillId="0" borderId="0" xfId="60" applyNumberFormat="1" applyFont="1" applyBorder="1" applyAlignment="1" quotePrefix="1">
      <alignment horizontal="left"/>
    </xf>
    <xf numFmtId="190" fontId="0" fillId="0" borderId="6" xfId="15" applyNumberFormat="1" applyBorder="1" applyAlignment="1">
      <alignment/>
    </xf>
    <xf numFmtId="38" fontId="8" fillId="0" borderId="0" xfId="60" applyNumberFormat="1" applyFont="1" applyBorder="1" applyAlignment="1">
      <alignment horizontal="left"/>
    </xf>
    <xf numFmtId="190" fontId="0" fillId="0" borderId="7" xfId="15" applyNumberFormat="1" applyBorder="1" applyAlignment="1">
      <alignment/>
    </xf>
    <xf numFmtId="38" fontId="27" fillId="0" borderId="13" xfId="60" applyNumberFormat="1" applyFont="1" applyBorder="1" applyAlignment="1" applyProtection="1">
      <alignment/>
      <protection/>
    </xf>
    <xf numFmtId="37" fontId="2" fillId="0" borderId="0" xfId="202" applyFont="1" applyFill="1" applyAlignment="1">
      <alignment horizontal="right"/>
      <protection/>
    </xf>
    <xf numFmtId="38" fontId="8" fillId="0" borderId="0" xfId="60" applyNumberFormat="1" applyFont="1" applyFill="1" applyBorder="1" applyAlignment="1" quotePrefix="1">
      <alignment horizontal="left"/>
    </xf>
    <xf numFmtId="37" fontId="2" fillId="0" borderId="0" xfId="202" applyFont="1" applyFill="1" applyAlignment="1" quotePrefix="1">
      <alignment horizontal="right"/>
      <protection/>
    </xf>
    <xf numFmtId="37" fontId="2" fillId="0" borderId="12" xfId="202" applyBorder="1">
      <alignment/>
      <protection/>
    </xf>
    <xf numFmtId="38" fontId="8" fillId="0" borderId="0" xfId="60" applyNumberFormat="1" applyFont="1" applyFill="1" applyBorder="1" applyAlignment="1" applyProtection="1" quotePrefix="1">
      <alignment horizontal="left"/>
      <protection/>
    </xf>
    <xf numFmtId="37" fontId="2" fillId="0" borderId="0" xfId="202" applyBorder="1">
      <alignment/>
      <protection/>
    </xf>
    <xf numFmtId="190" fontId="0" fillId="0" borderId="7" xfId="15" applyNumberFormat="1" applyBorder="1" applyAlignment="1">
      <alignment/>
    </xf>
    <xf numFmtId="38" fontId="8" fillId="4" borderId="13" xfId="203" applyNumberFormat="1" applyFont="1" applyFill="1" applyBorder="1" applyAlignment="1" quotePrefix="1">
      <alignment vertical="center"/>
      <protection/>
    </xf>
    <xf numFmtId="38" fontId="8" fillId="4" borderId="6" xfId="203" applyNumberFormat="1" applyFont="1" applyFill="1" applyBorder="1" applyAlignment="1">
      <alignment horizontal="center" vertical="center"/>
      <protection/>
    </xf>
    <xf numFmtId="37" fontId="2" fillId="0" borderId="0" xfId="203" applyFont="1" applyFill="1">
      <alignment/>
      <protection/>
    </xf>
    <xf numFmtId="38" fontId="8" fillId="0" borderId="0" xfId="203" applyNumberFormat="1" applyFont="1" applyFill="1" applyBorder="1" applyAlignment="1" quotePrefix="1">
      <alignment horizontal="left" vertical="center"/>
      <protection/>
    </xf>
    <xf numFmtId="38" fontId="8" fillId="0" borderId="6" xfId="203" applyNumberFormat="1" applyFont="1" applyFill="1" applyBorder="1" applyAlignment="1" quotePrefix="1">
      <alignment horizontal="center" vertical="center"/>
      <protection/>
    </xf>
    <xf numFmtId="38" fontId="27" fillId="0" borderId="13" xfId="203" applyNumberFormat="1" applyFont="1" applyFill="1" applyBorder="1" applyAlignment="1" applyProtection="1">
      <alignment vertical="center"/>
      <protection/>
    </xf>
    <xf numFmtId="38" fontId="27" fillId="0" borderId="13" xfId="203" applyNumberFormat="1" applyFont="1" applyFill="1" applyBorder="1" applyAlignment="1">
      <alignment vertical="center"/>
      <protection/>
    </xf>
    <xf numFmtId="38" fontId="8" fillId="0" borderId="7" xfId="203" applyNumberFormat="1" applyFont="1" applyFill="1" applyBorder="1" applyAlignment="1" applyProtection="1">
      <alignment horizontal="right" vertical="center"/>
      <protection/>
    </xf>
    <xf numFmtId="38" fontId="8" fillId="0" borderId="7" xfId="203" applyNumberFormat="1" applyFont="1" applyFill="1" applyBorder="1" applyAlignment="1" quotePrefix="1">
      <alignment horizontal="center" vertical="center"/>
      <protection/>
    </xf>
    <xf numFmtId="38" fontId="8" fillId="0" borderId="0" xfId="203" applyNumberFormat="1" applyFont="1" applyFill="1" applyBorder="1" applyAlignment="1" applyProtection="1" quotePrefix="1">
      <alignment horizontal="left" vertical="center"/>
      <protection/>
    </xf>
    <xf numFmtId="38" fontId="8" fillId="0" borderId="7" xfId="203" applyNumberFormat="1" applyFont="1" applyFill="1" applyBorder="1" applyAlignment="1" applyProtection="1" quotePrefix="1">
      <alignment horizontal="left" vertical="center"/>
      <protection/>
    </xf>
    <xf numFmtId="38" fontId="8" fillId="4" borderId="0" xfId="203" applyNumberFormat="1" applyFont="1" applyFill="1" applyBorder="1" applyAlignment="1" applyProtection="1" quotePrefix="1">
      <alignment horizontal="left" vertical="center"/>
      <protection/>
    </xf>
    <xf numFmtId="190" fontId="0" fillId="4" borderId="6" xfId="15" applyNumberFormat="1" applyFont="1" applyFill="1" applyBorder="1" applyAlignment="1">
      <alignment horizontal="center"/>
    </xf>
    <xf numFmtId="38" fontId="8" fillId="0" borderId="0" xfId="60" applyNumberFormat="1" applyFont="1" applyFill="1" applyBorder="1" applyAlignment="1" applyProtection="1">
      <alignment horizontal="left"/>
      <protection/>
    </xf>
    <xf numFmtId="38" fontId="8" fillId="0" borderId="7" xfId="6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4" borderId="0" xfId="0" applyFill="1" applyAlignment="1">
      <alignment horizontal="right"/>
    </xf>
    <xf numFmtId="190" fontId="0" fillId="4" borderId="0" xfId="15" applyNumberFormat="1" applyFill="1" applyAlignment="1">
      <alignment horizontal="right"/>
    </xf>
    <xf numFmtId="190" fontId="0" fillId="4" borderId="0" xfId="0" applyNumberFormat="1" applyFill="1" applyAlignment="1">
      <alignment horizontal="right"/>
    </xf>
    <xf numFmtId="190" fontId="0" fillId="0" borderId="0" xfId="0" applyNumberFormat="1" applyFill="1" applyAlignment="1">
      <alignment/>
    </xf>
    <xf numFmtId="0" fontId="13" fillId="0" borderId="0" xfId="0" applyFont="1" applyAlignment="1">
      <alignment horizontal="center"/>
    </xf>
    <xf numFmtId="190" fontId="0" fillId="0" borderId="0" xfId="15" applyNumberFormat="1" applyBorder="1" applyAlignment="1">
      <alignment/>
    </xf>
    <xf numFmtId="0" fontId="0" fillId="0" borderId="0" xfId="0" applyAlignment="1" quotePrefix="1">
      <alignment horizontal="left"/>
    </xf>
    <xf numFmtId="190" fontId="0" fillId="0" borderId="0" xfId="15" applyNumberForma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90" fontId="33" fillId="0" borderId="0" xfId="15" applyNumberFormat="1" applyFont="1" applyAlignment="1">
      <alignment/>
    </xf>
    <xf numFmtId="0" fontId="0" fillId="0" borderId="0" xfId="0" applyFill="1" applyAlignment="1" quotePrefix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left"/>
    </xf>
    <xf numFmtId="39" fontId="4" fillId="0" borderId="0" xfId="0" applyNumberFormat="1" applyFont="1" applyAlignment="1" applyProtection="1">
      <alignment horizontal="left"/>
      <protection/>
    </xf>
    <xf numFmtId="39" fontId="4" fillId="0" borderId="0" xfId="229" applyNumberFormat="1" applyFont="1" applyAlignment="1" applyProtection="1">
      <alignment horizontal="left"/>
      <protection/>
    </xf>
    <xf numFmtId="37" fontId="4" fillId="2" borderId="6" xfId="203" applyFont="1" applyFill="1" applyBorder="1">
      <alignment/>
      <protection/>
    </xf>
    <xf numFmtId="38" fontId="4" fillId="2" borderId="8" xfId="61" applyNumberFormat="1" applyFont="1" applyFill="1" applyBorder="1" applyAlignment="1" applyProtection="1">
      <alignment vertical="center"/>
      <protection/>
    </xf>
    <xf numFmtId="37" fontId="7" fillId="4" borderId="2" xfId="203" applyFont="1" applyFill="1" applyBorder="1" applyAlignment="1" applyProtection="1">
      <alignment horizontal="center" vertical="center"/>
      <protection/>
    </xf>
    <xf numFmtId="37" fontId="7" fillId="4" borderId="4" xfId="203" applyFont="1" applyFill="1" applyBorder="1" applyAlignment="1" applyProtection="1">
      <alignment horizontal="center" vertical="center"/>
      <protection/>
    </xf>
    <xf numFmtId="37" fontId="7" fillId="4" borderId="5" xfId="203" applyFont="1" applyFill="1" applyBorder="1" applyAlignment="1" applyProtection="1">
      <alignment horizontal="center" vertical="center"/>
      <protection/>
    </xf>
    <xf numFmtId="37" fontId="7" fillId="4" borderId="3" xfId="203" applyFont="1" applyFill="1" applyBorder="1" applyAlignment="1">
      <alignment horizontal="center" vertical="center"/>
      <protection/>
    </xf>
    <xf numFmtId="37" fontId="4" fillId="0" borderId="6" xfId="203" applyFont="1" applyFill="1" applyBorder="1">
      <alignment/>
      <protection/>
    </xf>
    <xf numFmtId="0" fontId="6" fillId="4" borderId="2" xfId="15" applyNumberFormat="1" applyFont="1" applyFill="1" applyBorder="1" applyAlignment="1">
      <alignment horizontal="center"/>
    </xf>
    <xf numFmtId="38" fontId="6" fillId="4" borderId="4" xfId="15" applyNumberFormat="1" applyFont="1" applyFill="1" applyBorder="1" applyAlignment="1">
      <alignment horizontal="center"/>
    </xf>
    <xf numFmtId="37" fontId="7" fillId="4" borderId="2" xfId="203" applyFont="1" applyFill="1" applyBorder="1" applyAlignment="1">
      <alignment horizontal="center" vertical="center"/>
      <protection/>
    </xf>
    <xf numFmtId="37" fontId="7" fillId="4" borderId="2" xfId="202" applyFont="1" applyFill="1" applyBorder="1" applyAlignment="1" applyProtection="1">
      <alignment horizontal="center" vertical="center"/>
      <protection/>
    </xf>
    <xf numFmtId="37" fontId="7" fillId="4" borderId="4" xfId="202" applyFont="1" applyFill="1" applyBorder="1" applyAlignment="1" applyProtection="1">
      <alignment horizontal="center" vertical="center"/>
      <protection/>
    </xf>
    <xf numFmtId="37" fontId="7" fillId="4" borderId="5" xfId="202" applyFont="1" applyFill="1" applyBorder="1" applyAlignment="1" applyProtection="1">
      <alignment horizontal="center" vertical="center"/>
      <protection/>
    </xf>
    <xf numFmtId="37" fontId="7" fillId="4" borderId="3" xfId="202" applyFont="1" applyFill="1" applyBorder="1" applyAlignment="1">
      <alignment horizontal="center" vertical="center"/>
      <protection/>
    </xf>
    <xf numFmtId="37" fontId="8" fillId="0" borderId="4" xfId="203" applyFont="1" applyFill="1" applyBorder="1" applyAlignment="1">
      <alignment vertical="center"/>
      <protection/>
    </xf>
    <xf numFmtId="0" fontId="4" fillId="0" borderId="0" xfId="15" applyNumberFormat="1" applyFont="1" applyFill="1" applyBorder="1" applyAlignment="1">
      <alignment horizontal="center"/>
    </xf>
    <xf numFmtId="37" fontId="7" fillId="4" borderId="3" xfId="203" applyFont="1" applyFill="1" applyBorder="1" applyAlignment="1">
      <alignment horizontal="centerContinuous" vertical="center"/>
      <protection/>
    </xf>
    <xf numFmtId="37" fontId="7" fillId="4" borderId="2" xfId="202" applyFont="1" applyFill="1" applyBorder="1" applyAlignment="1">
      <alignment horizontal="center" vertical="center"/>
      <protection/>
    </xf>
    <xf numFmtId="38" fontId="34" fillId="0" borderId="0" xfId="60" applyNumberFormat="1" applyFont="1" applyAlignment="1">
      <alignment horizontal="center"/>
    </xf>
    <xf numFmtId="38" fontId="4" fillId="0" borderId="7" xfId="61" applyNumberFormat="1" applyFont="1" applyFill="1" applyBorder="1" applyAlignment="1">
      <alignment vertical="center"/>
    </xf>
    <xf numFmtId="0" fontId="30" fillId="0" borderId="0" xfId="202" applyNumberFormat="1" applyFont="1" applyAlignment="1">
      <alignment/>
      <protection/>
    </xf>
    <xf numFmtId="38" fontId="0" fillId="0" borderId="16" xfId="0" applyNumberFormat="1" applyFill="1" applyBorder="1" applyAlignment="1">
      <alignment/>
    </xf>
    <xf numFmtId="190" fontId="0" fillId="2" borderId="0" xfId="15" applyNumberFormat="1" applyFill="1" applyAlignment="1">
      <alignment/>
    </xf>
    <xf numFmtId="190" fontId="0" fillId="5" borderId="0" xfId="15" applyNumberFormat="1" applyFill="1" applyAlignment="1">
      <alignment/>
    </xf>
    <xf numFmtId="190" fontId="0" fillId="0" borderId="0" xfId="15" applyNumberFormat="1" applyFill="1" applyAlignment="1">
      <alignment/>
    </xf>
    <xf numFmtId="171" fontId="0" fillId="0" borderId="0" xfId="15" applyAlignment="1">
      <alignment/>
    </xf>
    <xf numFmtId="169" fontId="0" fillId="0" borderId="0" xfId="15" applyNumberFormat="1" applyFill="1" applyAlignment="1">
      <alignment/>
    </xf>
    <xf numFmtId="169" fontId="0" fillId="0" borderId="0" xfId="15" applyNumberFormat="1" applyAlignment="1">
      <alignment/>
    </xf>
    <xf numFmtId="169" fontId="0" fillId="0" borderId="16" xfId="15" applyNumberFormat="1" applyBorder="1" applyAlignment="1">
      <alignment/>
    </xf>
    <xf numFmtId="0" fontId="0" fillId="3" borderId="0" xfId="0" applyFill="1" applyAlignment="1">
      <alignment horizontal="center"/>
    </xf>
    <xf numFmtId="190" fontId="0" fillId="3" borderId="0" xfId="15" applyNumberFormat="1" applyFill="1" applyAlignment="1">
      <alignment/>
    </xf>
    <xf numFmtId="0" fontId="0" fillId="3" borderId="0" xfId="0" applyFill="1" applyAlignment="1" quotePrefix="1">
      <alignment horizontal="left"/>
    </xf>
    <xf numFmtId="190" fontId="35" fillId="3" borderId="1" xfId="15" applyNumberFormat="1" applyFont="1" applyFill="1" applyBorder="1" applyAlignment="1">
      <alignment/>
    </xf>
    <xf numFmtId="190" fontId="11" fillId="0" borderId="25" xfId="0" applyNumberFormat="1" applyFont="1" applyBorder="1" applyAlignment="1">
      <alignment/>
    </xf>
    <xf numFmtId="171" fontId="0" fillId="0" borderId="0" xfId="15" applyNumberFormat="1" applyBorder="1" applyAlignment="1">
      <alignment/>
    </xf>
    <xf numFmtId="190" fontId="8" fillId="0" borderId="7" xfId="15" applyNumberFormat="1" applyFont="1" applyBorder="1" applyAlignment="1" applyProtection="1">
      <alignment horizontal="fill"/>
      <protection/>
    </xf>
    <xf numFmtId="190" fontId="8" fillId="0" borderId="7" xfId="15" applyNumberFormat="1" applyFont="1" applyBorder="1" applyAlignment="1">
      <alignment/>
    </xf>
    <xf numFmtId="190" fontId="8" fillId="0" borderId="7" xfId="15" applyNumberFormat="1" applyFont="1" applyBorder="1" applyAlignment="1" applyProtection="1">
      <alignment/>
      <protection/>
    </xf>
    <xf numFmtId="190" fontId="8" fillId="0" borderId="7" xfId="15" applyNumberFormat="1" applyFont="1" applyFill="1" applyBorder="1" applyAlignment="1" applyProtection="1">
      <alignment/>
      <protection/>
    </xf>
    <xf numFmtId="190" fontId="8" fillId="0" borderId="7" xfId="15" applyNumberFormat="1" applyFont="1" applyFill="1" applyBorder="1" applyAlignment="1">
      <alignment/>
    </xf>
    <xf numFmtId="190" fontId="27" fillId="0" borderId="12" xfId="15" applyNumberFormat="1" applyFont="1" applyBorder="1" applyAlignment="1" applyProtection="1">
      <alignment/>
      <protection/>
    </xf>
    <xf numFmtId="190" fontId="8" fillId="0" borderId="6" xfId="15" applyNumberFormat="1" applyFont="1" applyBorder="1" applyAlignment="1">
      <alignment/>
    </xf>
    <xf numFmtId="190" fontId="8" fillId="2" borderId="7" xfId="15" applyNumberFormat="1" applyFont="1" applyFill="1" applyBorder="1" applyAlignment="1">
      <alignment/>
    </xf>
    <xf numFmtId="190" fontId="27" fillId="0" borderId="9" xfId="15" applyNumberFormat="1" applyFont="1" applyBorder="1" applyAlignment="1" applyProtection="1">
      <alignment/>
      <protection/>
    </xf>
    <xf numFmtId="190" fontId="8" fillId="0" borderId="5" xfId="15" applyNumberFormat="1" applyFont="1" applyBorder="1" applyAlignment="1" applyProtection="1">
      <alignment horizontal="fill"/>
      <protection/>
    </xf>
    <xf numFmtId="190" fontId="8" fillId="0" borderId="7" xfId="15" applyNumberFormat="1" applyFont="1" applyBorder="1" applyAlignment="1" applyProtection="1">
      <alignment horizontal="left"/>
      <protection/>
    </xf>
    <xf numFmtId="190" fontId="8" fillId="0" borderId="9" xfId="15" applyNumberFormat="1" applyFont="1" applyFill="1" applyBorder="1" applyAlignment="1" applyProtection="1">
      <alignment/>
      <protection/>
    </xf>
    <xf numFmtId="190" fontId="8" fillId="6" borderId="7" xfId="15" applyNumberFormat="1" applyFont="1" applyFill="1" applyBorder="1" applyAlignment="1" applyProtection="1">
      <alignment/>
      <protection/>
    </xf>
    <xf numFmtId="190" fontId="27" fillId="0" borderId="9" xfId="15" applyNumberFormat="1" applyFont="1" applyFill="1" applyBorder="1" applyAlignment="1" applyProtection="1">
      <alignment/>
      <protection/>
    </xf>
    <xf numFmtId="190" fontId="8" fillId="0" borderId="7" xfId="15" applyNumberFormat="1" applyFont="1" applyBorder="1" applyAlignment="1" applyProtection="1">
      <alignment horizontal="right"/>
      <protection/>
    </xf>
    <xf numFmtId="190" fontId="8" fillId="0" borderId="7" xfId="15" applyNumberFormat="1" applyFont="1" applyFill="1" applyBorder="1" applyAlignment="1">
      <alignment vertical="center"/>
    </xf>
    <xf numFmtId="190" fontId="27" fillId="6" borderId="7" xfId="15" applyNumberFormat="1" applyFont="1" applyFill="1" applyBorder="1" applyAlignment="1" applyProtection="1">
      <alignment/>
      <protection/>
    </xf>
    <xf numFmtId="190" fontId="27" fillId="0" borderId="7" xfId="15" applyNumberFormat="1" applyFont="1" applyBorder="1" applyAlignment="1" applyProtection="1">
      <alignment/>
      <protection/>
    </xf>
    <xf numFmtId="190" fontId="8" fillId="8" borderId="7" xfId="15" applyNumberFormat="1" applyFont="1" applyFill="1" applyBorder="1" applyAlignment="1" applyProtection="1">
      <alignment/>
      <protection/>
    </xf>
    <xf numFmtId="190" fontId="8" fillId="0" borderId="6" xfId="15" applyNumberFormat="1" applyFont="1" applyBorder="1" applyAlignment="1" applyProtection="1">
      <alignment/>
      <protection/>
    </xf>
    <xf numFmtId="190" fontId="8" fillId="0" borderId="19" xfId="15" applyNumberFormat="1" applyFont="1" applyBorder="1" applyAlignment="1" applyProtection="1">
      <alignment horizontal="fill"/>
      <protection/>
    </xf>
    <xf numFmtId="190" fontId="8" fillId="0" borderId="19" xfId="15" applyNumberFormat="1" applyFont="1" applyBorder="1" applyAlignment="1">
      <alignment/>
    </xf>
    <xf numFmtId="190" fontId="27" fillId="0" borderId="7" xfId="15" applyNumberFormat="1" applyFont="1" applyFill="1" applyBorder="1" applyAlignment="1" applyProtection="1">
      <alignment/>
      <protection/>
    </xf>
    <xf numFmtId="190" fontId="11" fillId="0" borderId="0" xfId="15" applyNumberFormat="1" applyFont="1" applyAlignment="1">
      <alignment horizontal="center"/>
    </xf>
    <xf numFmtId="190" fontId="0" fillId="0" borderId="0" xfId="15" applyNumberFormat="1" applyBorder="1" applyAlignment="1">
      <alignment/>
    </xf>
    <xf numFmtId="190" fontId="2" fillId="0" borderId="0" xfId="15" applyNumberFormat="1" applyAlignment="1">
      <alignment/>
    </xf>
    <xf numFmtId="190" fontId="8" fillId="0" borderId="0" xfId="15" applyNumberFormat="1" applyFont="1" applyAlignment="1" applyProtection="1">
      <alignment/>
      <protection/>
    </xf>
    <xf numFmtId="190" fontId="8" fillId="0" borderId="0" xfId="15" applyNumberFormat="1" applyFont="1" applyAlignment="1">
      <alignment/>
    </xf>
    <xf numFmtId="190" fontId="8" fillId="0" borderId="0" xfId="15" applyNumberFormat="1" applyFont="1" applyFill="1" applyAlignment="1">
      <alignment/>
    </xf>
    <xf numFmtId="190" fontId="2" fillId="0" borderId="0" xfId="15" applyNumberFormat="1" applyFill="1" applyAlignment="1">
      <alignment/>
    </xf>
    <xf numFmtId="190" fontId="8" fillId="0" borderId="0" xfId="15" applyNumberFormat="1" applyFont="1" applyAlignment="1" applyProtection="1">
      <alignment horizontal="left"/>
      <protection/>
    </xf>
    <xf numFmtId="190" fontId="8" fillId="0" borderId="0" xfId="15" applyNumberFormat="1" applyFont="1" applyAlignment="1">
      <alignment horizontal="center"/>
    </xf>
    <xf numFmtId="190" fontId="2" fillId="0" borderId="0" xfId="15" applyNumberFormat="1" applyFont="1" applyAlignment="1">
      <alignment horizontal="center"/>
    </xf>
    <xf numFmtId="190" fontId="2" fillId="0" borderId="0" xfId="15" applyNumberFormat="1" applyFont="1" applyFill="1" applyAlignment="1">
      <alignment horizontal="right"/>
    </xf>
    <xf numFmtId="190" fontId="8" fillId="0" borderId="9" xfId="15" applyNumberFormat="1" applyFont="1" applyBorder="1" applyAlignment="1" applyProtection="1">
      <alignment/>
      <protection/>
    </xf>
    <xf numFmtId="190" fontId="8" fillId="6" borderId="9" xfId="15" applyNumberFormat="1" applyFont="1" applyFill="1" applyBorder="1" applyAlignment="1" applyProtection="1">
      <alignment/>
      <protection/>
    </xf>
    <xf numFmtId="190" fontId="8" fillId="0" borderId="0" xfId="15" applyNumberFormat="1" applyFont="1" applyAlignment="1">
      <alignment horizontal="right"/>
    </xf>
    <xf numFmtId="190" fontId="2" fillId="0" borderId="0" xfId="15" applyNumberFormat="1" applyFont="1" applyAlignment="1">
      <alignment horizontal="right"/>
    </xf>
    <xf numFmtId="190" fontId="8" fillId="0" borderId="0" xfId="15" applyNumberFormat="1" applyFont="1" applyAlignment="1" quotePrefix="1">
      <alignment horizontal="left"/>
    </xf>
    <xf numFmtId="190" fontId="8" fillId="0" borderId="0" xfId="15" applyNumberFormat="1" applyFont="1" applyFill="1" applyBorder="1" applyAlignment="1">
      <alignment horizontal="center"/>
    </xf>
    <xf numFmtId="190" fontId="8" fillId="0" borderId="0" xfId="15" applyNumberFormat="1" applyFont="1" applyFill="1" applyBorder="1" applyAlignment="1">
      <alignment/>
    </xf>
    <xf numFmtId="190" fontId="8" fillId="0" borderId="7" xfId="15" applyNumberFormat="1" applyFont="1" applyBorder="1" applyAlignment="1" quotePrefix="1">
      <alignment/>
    </xf>
    <xf numFmtId="190" fontId="8" fillId="0" borderId="15" xfId="15" applyNumberFormat="1" applyFont="1" applyFill="1" applyBorder="1" applyAlignment="1">
      <alignment/>
    </xf>
    <xf numFmtId="190" fontId="8" fillId="0" borderId="16" xfId="15" applyNumberFormat="1" applyFont="1" applyFill="1" applyBorder="1" applyAlignment="1">
      <alignment/>
    </xf>
    <xf numFmtId="37" fontId="2" fillId="0" borderId="0" xfId="202" applyFont="1" applyFill="1">
      <alignment/>
      <protection/>
    </xf>
    <xf numFmtId="38" fontId="8" fillId="0" borderId="15" xfId="60" applyNumberFormat="1" applyFont="1" applyFill="1" applyBorder="1" applyAlignment="1">
      <alignment/>
    </xf>
    <xf numFmtId="38" fontId="8" fillId="0" borderId="16" xfId="60" applyNumberFormat="1" applyFont="1" applyFill="1" applyBorder="1" applyAlignment="1">
      <alignment/>
    </xf>
    <xf numFmtId="38" fontId="8" fillId="0" borderId="9" xfId="60" applyNumberFormat="1" applyFont="1" applyFill="1" applyBorder="1" applyAlignment="1">
      <alignment/>
    </xf>
    <xf numFmtId="38" fontId="8" fillId="0" borderId="9" xfId="60" applyNumberFormat="1" applyFont="1" applyFill="1" applyBorder="1" applyAlignment="1">
      <alignment horizontal="center"/>
    </xf>
    <xf numFmtId="171" fontId="27" fillId="0" borderId="0" xfId="15" applyNumberFormat="1" applyFont="1" applyAlignment="1">
      <alignment/>
    </xf>
    <xf numFmtId="38" fontId="8" fillId="8" borderId="7" xfId="60" applyNumberFormat="1" applyFont="1" applyFill="1" applyBorder="1" applyAlignment="1">
      <alignment horizontal="center"/>
    </xf>
    <xf numFmtId="190" fontId="8" fillId="8" borderId="7" xfId="15" applyNumberFormat="1" applyFont="1" applyFill="1" applyBorder="1" applyAlignment="1">
      <alignment/>
    </xf>
    <xf numFmtId="190" fontId="8" fillId="0" borderId="13" xfId="15" applyNumberFormat="1" applyFont="1" applyFill="1" applyBorder="1" applyAlignment="1" applyProtection="1">
      <alignment/>
      <protection/>
    </xf>
    <xf numFmtId="38" fontId="8" fillId="0" borderId="0" xfId="60" applyNumberFormat="1" applyFont="1" applyFill="1" applyBorder="1" applyAlignment="1" quotePrefix="1">
      <alignment/>
    </xf>
    <xf numFmtId="38" fontId="27" fillId="5" borderId="13" xfId="203" applyNumberFormat="1" applyFont="1" applyFill="1" applyBorder="1" applyAlignment="1">
      <alignment vertical="center"/>
      <protection/>
    </xf>
    <xf numFmtId="38" fontId="8" fillId="5" borderId="0" xfId="203" applyNumberFormat="1" applyFont="1" applyFill="1" applyBorder="1" applyAlignment="1">
      <alignment vertical="center"/>
      <protection/>
    </xf>
    <xf numFmtId="38" fontId="8" fillId="5" borderId="7" xfId="203" applyNumberFormat="1" applyFont="1" applyFill="1" applyBorder="1" applyAlignment="1">
      <alignment vertical="center"/>
      <protection/>
    </xf>
    <xf numFmtId="38" fontId="27" fillId="8" borderId="13" xfId="203" applyNumberFormat="1" applyFont="1" applyFill="1" applyBorder="1" applyAlignment="1" applyProtection="1">
      <alignment vertical="center"/>
      <protection/>
    </xf>
    <xf numFmtId="38" fontId="8" fillId="8" borderId="0" xfId="203" applyNumberFormat="1" applyFont="1" applyFill="1" applyBorder="1" applyAlignment="1" applyProtection="1">
      <alignment vertical="center"/>
      <protection/>
    </xf>
    <xf numFmtId="38" fontId="8" fillId="8" borderId="7" xfId="203" applyNumberFormat="1" applyFont="1" applyFill="1" applyBorder="1" applyAlignment="1" applyProtection="1">
      <alignment vertical="center"/>
      <protection/>
    </xf>
    <xf numFmtId="38" fontId="8" fillId="8" borderId="7" xfId="203" applyNumberFormat="1" applyFont="1" applyFill="1" applyBorder="1" applyAlignment="1">
      <alignment horizontal="center" vertical="center"/>
      <protection/>
    </xf>
    <xf numFmtId="37" fontId="2" fillId="0" borderId="6" xfId="203" applyBorder="1">
      <alignment/>
      <protection/>
    </xf>
    <xf numFmtId="0" fontId="11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190" fontId="0" fillId="2" borderId="0" xfId="15" applyNumberFormat="1" applyFill="1" applyAlignment="1">
      <alignment/>
    </xf>
    <xf numFmtId="190" fontId="8" fillId="0" borderId="0" xfId="15" applyNumberFormat="1" applyFont="1" applyBorder="1" applyAlignment="1">
      <alignment/>
    </xf>
    <xf numFmtId="196" fontId="8" fillId="0" borderId="0" xfId="15" applyNumberFormat="1" applyFont="1" applyAlignment="1">
      <alignment/>
    </xf>
    <xf numFmtId="0" fontId="6" fillId="0" borderId="15" xfId="60" applyNumberFormat="1" applyFont="1" applyBorder="1" applyAlignment="1" applyProtection="1">
      <alignment horizontal="center"/>
      <protection/>
    </xf>
    <xf numFmtId="0" fontId="6" fillId="0" borderId="9" xfId="60" applyNumberFormat="1" applyFont="1" applyBorder="1" applyAlignment="1" applyProtection="1">
      <alignment horizontal="center"/>
      <protection/>
    </xf>
    <xf numFmtId="0" fontId="3" fillId="4" borderId="1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90" fontId="0" fillId="6" borderId="21" xfId="15" applyNumberFormat="1" applyFont="1" applyFill="1" applyBorder="1" applyAlignment="1">
      <alignment horizontal="center"/>
    </xf>
    <xf numFmtId="190" fontId="0" fillId="6" borderId="5" xfId="15" applyNumberFormat="1" applyFont="1" applyFill="1" applyBorder="1" applyAlignment="1">
      <alignment horizontal="center"/>
    </xf>
  </cellXfs>
  <cellStyles count="226">
    <cellStyle name="Normal" xfId="0"/>
    <cellStyle name="Comma" xfId="15"/>
    <cellStyle name="Comma [0]" xfId="16"/>
    <cellStyle name="Comma [0]_Con B&amp;S 0698" xfId="17"/>
    <cellStyle name="Comma [0]_Con P&amp;L 0698" xfId="18"/>
    <cellStyle name="Comma [0]_Israel&amp;Safr" xfId="19"/>
    <cellStyle name="Comma [0]_Israel&amp;Safr_Plan" xfId="20"/>
    <cellStyle name="Comma [0]_Israel&amp;Safr_Plan1997" xfId="21"/>
    <cellStyle name="Comma [0]_Italy" xfId="22"/>
    <cellStyle name="Comma [0]_Italy_Plan" xfId="23"/>
    <cellStyle name="Comma [0]_Italy_Plan1997" xfId="24"/>
    <cellStyle name="Comma [0]_laroux" xfId="25"/>
    <cellStyle name="Comma [0]_laroux_1" xfId="26"/>
    <cellStyle name="Comma [0]_laroux_2" xfId="27"/>
    <cellStyle name="Comma [0]_laroux_3" xfId="28"/>
    <cellStyle name="Comma [0]_laroux_4" xfId="29"/>
    <cellStyle name="Comma [0]_laroux_MATERAL2" xfId="30"/>
    <cellStyle name="Comma [0]_laroux_mud plant bolted" xfId="31"/>
    <cellStyle name="Comma [0]_laroux_Plan" xfId="32"/>
    <cellStyle name="Comma [0]_laroux_Plan1997" xfId="33"/>
    <cellStyle name="Comma [0]_MATERAL2" xfId="34"/>
    <cellStyle name="Comma [0]_Module1" xfId="35"/>
    <cellStyle name="Comma [0]_Module1_Plan" xfId="36"/>
    <cellStyle name="Comma [0]_Module1_Plan1997" xfId="37"/>
    <cellStyle name="Comma [0]_mud plant bolted" xfId="38"/>
    <cellStyle name="Comma [0]_r1" xfId="39"/>
    <cellStyle name="Comma [0]_r1_Plan" xfId="40"/>
    <cellStyle name="Comma [0]_r1_Plan1997" xfId="41"/>
    <cellStyle name="Comma [0]_Reconcile W2vW6" xfId="42"/>
    <cellStyle name="Comma [0]_Reconcile W2vW6_Plan" xfId="43"/>
    <cellStyle name="Comma [0]_Reconcile W2vW6_Plan1997" xfId="44"/>
    <cellStyle name="Comma [0]_Sheet1 (2)" xfId="45"/>
    <cellStyle name="Comma [0]_Sheet2" xfId="46"/>
    <cellStyle name="Comma [0]_Sheet2_Plan" xfId="47"/>
    <cellStyle name="Comma [0]_Sheet2_Plan1997" xfId="48"/>
    <cellStyle name="Comma [0]_Summary" xfId="49"/>
    <cellStyle name="Comma [0]_Summary_Plan" xfId="50"/>
    <cellStyle name="Comma [0]_Summary_Plan1997" xfId="51"/>
    <cellStyle name="Comma [0]_Units" xfId="52"/>
    <cellStyle name="Comma [0]_Units_1" xfId="53"/>
    <cellStyle name="Comma [0]_Units_1_Plan" xfId="54"/>
    <cellStyle name="Comma [0]_Units_1_Plan1997" xfId="55"/>
    <cellStyle name="Comma [0]_Values" xfId="56"/>
    <cellStyle name="Comma [0]_Values_Plan" xfId="57"/>
    <cellStyle name="Comma [0]_Values_Plan1997" xfId="58"/>
    <cellStyle name="comma zerodec" xfId="59"/>
    <cellStyle name="Comma_Con B&amp;S 0698" xfId="60"/>
    <cellStyle name="Comma_Con P&amp;L 0698" xfId="61"/>
    <cellStyle name="Comma_Israel&amp;Safr" xfId="62"/>
    <cellStyle name="Comma_Israel&amp;Safr_Plan" xfId="63"/>
    <cellStyle name="Comma_Israel&amp;Safr_Plan1997" xfId="64"/>
    <cellStyle name="Comma_Italy" xfId="65"/>
    <cellStyle name="Comma_Italy_Plan" xfId="66"/>
    <cellStyle name="Comma_Italy_Plan1997" xfId="67"/>
    <cellStyle name="Comma_laroux" xfId="68"/>
    <cellStyle name="Comma_laroux_1" xfId="69"/>
    <cellStyle name="Comma_laroux_1_Plan" xfId="70"/>
    <cellStyle name="Comma_laroux_1_Plan1997" xfId="71"/>
    <cellStyle name="Comma_laroux_2" xfId="72"/>
    <cellStyle name="Comma_laroux_3" xfId="73"/>
    <cellStyle name="Comma_laroux_4" xfId="74"/>
    <cellStyle name="Comma_laroux_5" xfId="75"/>
    <cellStyle name="Comma_laroux_Plan" xfId="76"/>
    <cellStyle name="Comma_laroux_Plan1997" xfId="77"/>
    <cellStyle name="Comma_MATERAL2" xfId="78"/>
    <cellStyle name="Comma_Module1" xfId="79"/>
    <cellStyle name="Comma_Module1_Plan" xfId="80"/>
    <cellStyle name="Comma_Module1_Plan1997" xfId="81"/>
    <cellStyle name="Comma_mud plant bolted" xfId="82"/>
    <cellStyle name="Comma_Plan" xfId="83"/>
    <cellStyle name="Comma_r1" xfId="84"/>
    <cellStyle name="Comma_r1_Plan" xfId="85"/>
    <cellStyle name="Comma_r1_Plan1997" xfId="86"/>
    <cellStyle name="Comma_Reconcile W2vW6" xfId="87"/>
    <cellStyle name="Comma_Reconcile W2vW6_Plan" xfId="88"/>
    <cellStyle name="Comma_Reconcile W2vW6_Plan1997" xfId="89"/>
    <cellStyle name="Comma_Sheet1 (2)" xfId="90"/>
    <cellStyle name="Comma_Sheet2" xfId="91"/>
    <cellStyle name="Comma_Sheet2_Plan" xfId="92"/>
    <cellStyle name="Comma_Sheet2_Plan1997" xfId="93"/>
    <cellStyle name="Comma_Summary" xfId="94"/>
    <cellStyle name="Comma_Summary_Plan" xfId="95"/>
    <cellStyle name="Comma_Summary_Plan1997" xfId="96"/>
    <cellStyle name="Comma_template" xfId="97"/>
    <cellStyle name="Comma_Units" xfId="98"/>
    <cellStyle name="Comma_Units_1" xfId="99"/>
    <cellStyle name="Comma_Units_1_Plan" xfId="100"/>
    <cellStyle name="Comma_Units_1_Plan1997" xfId="101"/>
    <cellStyle name="Comma_USW" xfId="102"/>
    <cellStyle name="Comma_Values" xfId="103"/>
    <cellStyle name="Comma_Values_Plan" xfId="104"/>
    <cellStyle name="Comma_Values_Plan1997" xfId="105"/>
    <cellStyle name="Currency" xfId="106"/>
    <cellStyle name="Currency [0]" xfId="107"/>
    <cellStyle name="Currency [0]_AAGR1297" xfId="108"/>
    <cellStyle name="Currency [0]_Balance Sheet" xfId="109"/>
    <cellStyle name="Currency [0]_Balance Sheet_AAB Consol 6.1999 (Amended by Shah to tally to final audited Accounts)" xfId="110"/>
    <cellStyle name="Currency [0]_Con B&amp;S 0698" xfId="111"/>
    <cellStyle name="Currency [0]_Con P&amp;L 0698" xfId="112"/>
    <cellStyle name="Currency [0]_Israel&amp;Safr" xfId="113"/>
    <cellStyle name="Currency [0]_Italy" xfId="114"/>
    <cellStyle name="Currency [0]_KPI" xfId="115"/>
    <cellStyle name="Currency [0]_KPI_AAB Consol 6.1999 (Amended by Shah to tally to final audited Accounts)" xfId="116"/>
    <cellStyle name="Currency [0]_laroux" xfId="117"/>
    <cellStyle name="Currency [0]_laroux_1" xfId="118"/>
    <cellStyle name="Currency [0]_laroux_2" xfId="119"/>
    <cellStyle name="Currency [0]_laroux_3" xfId="120"/>
    <cellStyle name="Currency [0]_laroux_4" xfId="121"/>
    <cellStyle name="Currency [0]_laroux_5" xfId="122"/>
    <cellStyle name="Currency [0]_laroux_6" xfId="123"/>
    <cellStyle name="Currency [0]_laroux_MATERAL2" xfId="124"/>
    <cellStyle name="Currency [0]_laroux_mud plant bolted" xfId="125"/>
    <cellStyle name="Currency [0]_MATERAL2" xfId="126"/>
    <cellStyle name="Currency [0]_Module1" xfId="127"/>
    <cellStyle name="Currency [0]_mud plant bolted" xfId="128"/>
    <cellStyle name="Currency [0]_Profit &amp; Loss" xfId="129"/>
    <cellStyle name="Currency [0]_Profit &amp; Loss_AAB Consol 6.1999 (Amended by Shah to tally to final audited Accounts)" xfId="130"/>
    <cellStyle name="Currency [0]_r1" xfId="131"/>
    <cellStyle name="Currency [0]_Reconcile W2vW6" xfId="132"/>
    <cellStyle name="Currency [0]_Sheet1" xfId="133"/>
    <cellStyle name="Currency [0]_Sheet1 (2)" xfId="134"/>
    <cellStyle name="Currency [0]_Sheet1_AAB Consol 6.1999 (Amended by Shah to tally to final audited Accounts)" xfId="135"/>
    <cellStyle name="Currency [0]_Sheet2" xfId="136"/>
    <cellStyle name="Currency [0]_Summary" xfId="137"/>
    <cellStyle name="Currency [0]_Units" xfId="138"/>
    <cellStyle name="Currency [0]_Units_1" xfId="139"/>
    <cellStyle name="Currency [0]_Values" xfId="140"/>
    <cellStyle name="Currency_AAGR1297" xfId="141"/>
    <cellStyle name="Currency_Balance Sheet" xfId="142"/>
    <cellStyle name="Currency_Balance Sheet_AAB Consol 6.1999 (Amended by Shah to tally to final audited Accounts)" xfId="143"/>
    <cellStyle name="Currency_Con B&amp;S 0698" xfId="144"/>
    <cellStyle name="Currency_Con P&amp;L 0698" xfId="145"/>
    <cellStyle name="Currency_Israel&amp;Safr" xfId="146"/>
    <cellStyle name="Currency_Italy" xfId="147"/>
    <cellStyle name="Currency_KPI" xfId="148"/>
    <cellStyle name="Currency_KPI_AAB Consol 6.1999 (Amended by Shah to tally to final audited Accounts)" xfId="149"/>
    <cellStyle name="Currency_laroux" xfId="150"/>
    <cellStyle name="Currency_laroux_1" xfId="151"/>
    <cellStyle name="Currency_laroux_1_Plan" xfId="152"/>
    <cellStyle name="Currency_laroux_1_Plan1997" xfId="153"/>
    <cellStyle name="Currency_laroux_2" xfId="154"/>
    <cellStyle name="Currency_laroux_2_Plan" xfId="155"/>
    <cellStyle name="Currency_laroux_2_Plan1997" xfId="156"/>
    <cellStyle name="Currency_laroux_3" xfId="157"/>
    <cellStyle name="Currency_laroux_3_Plan" xfId="158"/>
    <cellStyle name="Currency_laroux_3_Plan1997" xfId="159"/>
    <cellStyle name="Currency_laroux_4" xfId="160"/>
    <cellStyle name="Currency_laroux_5" xfId="161"/>
    <cellStyle name="Currency_laroux_6" xfId="162"/>
    <cellStyle name="Currency_laroux_Plan" xfId="163"/>
    <cellStyle name="Currency_laroux_Plan1997" xfId="164"/>
    <cellStyle name="Currency_MATERAL2" xfId="165"/>
    <cellStyle name="Currency_Module1" xfId="166"/>
    <cellStyle name="Currency_mud plant bolted" xfId="167"/>
    <cellStyle name="Currency_Plan" xfId="168"/>
    <cellStyle name="Currency_Profit &amp; Loss" xfId="169"/>
    <cellStyle name="Currency_Profit &amp; Loss_AAB Consol 6.1999 (Amended by Shah to tally to final audited Accounts)" xfId="170"/>
    <cellStyle name="Currency_r1" xfId="171"/>
    <cellStyle name="Currency_Reconcile W2vW6" xfId="172"/>
    <cellStyle name="Currency_Sheet1" xfId="173"/>
    <cellStyle name="Currency_Sheet1 (2)" xfId="174"/>
    <cellStyle name="Currency_Sheet1_Profit &amp; Loss" xfId="175"/>
    <cellStyle name="Currency_Sheet1_Profit &amp; Loss_AAB Consol 6.1999 (Amended by Shah to tally to final audited Accounts)" xfId="176"/>
    <cellStyle name="Currency_Sheet2" xfId="177"/>
    <cellStyle name="Currency_Summary" xfId="178"/>
    <cellStyle name="Currency_Units" xfId="179"/>
    <cellStyle name="Currency_Units_1" xfId="180"/>
    <cellStyle name="Currency_USW" xfId="181"/>
    <cellStyle name="Currency_Values" xfId="182"/>
    <cellStyle name="Currency1" xfId="183"/>
    <cellStyle name="Date" xfId="184"/>
    <cellStyle name="Date_USW" xfId="185"/>
    <cellStyle name="Dollar (zero dec)" xfId="186"/>
    <cellStyle name="Fixed" xfId="187"/>
    <cellStyle name="Fixed_USW" xfId="188"/>
    <cellStyle name="HEADING1" xfId="189"/>
    <cellStyle name="HEADING2" xfId="190"/>
    <cellStyle name="Normal - Style1" xfId="191"/>
    <cellStyle name="Normal - Style2" xfId="192"/>
    <cellStyle name="Normal - Style3" xfId="193"/>
    <cellStyle name="Normal - Style4" xfId="194"/>
    <cellStyle name="Normal - Style5" xfId="195"/>
    <cellStyle name="Normal - Style6" xfId="196"/>
    <cellStyle name="Normal - Style7" xfId="197"/>
    <cellStyle name="Normal - Style8" xfId="198"/>
    <cellStyle name="Normal_AAGRP1296" xfId="199"/>
    <cellStyle name="Normal_Certs Q2" xfId="200"/>
    <cellStyle name="Normal_Certs Q2 (2)" xfId="201"/>
    <cellStyle name="Normal_Con B&amp;S 0698" xfId="202"/>
    <cellStyle name="Normal_Con P&amp;L 0698" xfId="203"/>
    <cellStyle name="Normal_Funds Flow " xfId="204"/>
    <cellStyle name="Normal_Israel&amp;Safr" xfId="205"/>
    <cellStyle name="Normal_laroux" xfId="206"/>
    <cellStyle name="Normal_laroux_1" xfId="207"/>
    <cellStyle name="Normal_laroux_2" xfId="208"/>
    <cellStyle name="Normal_laroux_2_Plan" xfId="209"/>
    <cellStyle name="Normal_laroux_2_Plan1997" xfId="210"/>
    <cellStyle name="Normal_laroux_3" xfId="211"/>
    <cellStyle name="Normal_laroux_3_Plan" xfId="212"/>
    <cellStyle name="Normal_laroux_3_Plan1997" xfId="213"/>
    <cellStyle name="Normal_laroux_4" xfId="214"/>
    <cellStyle name="Normal_laroux_5" xfId="215"/>
    <cellStyle name="Normal_laroux_Plan" xfId="216"/>
    <cellStyle name="Normal_laroux_Plan1997" xfId="217"/>
    <cellStyle name="Normal_MATERAL2" xfId="218"/>
    <cellStyle name="Normal_Module1" xfId="219"/>
    <cellStyle name="Normal_mud plant bolted" xfId="220"/>
    <cellStyle name="Normal_PENPARTS" xfId="221"/>
    <cellStyle name="Normal_Plan" xfId="222"/>
    <cellStyle name="Normal_PROD SALES" xfId="223"/>
    <cellStyle name="Normal_PROD SALES by Region Pg 2" xfId="224"/>
    <cellStyle name="Normal_PRODUCT" xfId="225"/>
    <cellStyle name="Normal_r1" xfId="226"/>
    <cellStyle name="Normal_Reconcile W2vW6" xfId="227"/>
    <cellStyle name="Normal_REPORT" xfId="228"/>
    <cellStyle name="Normal_Sheet1" xfId="229"/>
    <cellStyle name="Normal_Sheet1 (2)" xfId="230"/>
    <cellStyle name="Normal_Summary" xfId="231"/>
    <cellStyle name="Normal_Summary_laroux" xfId="232"/>
    <cellStyle name="Normal_Units" xfId="233"/>
    <cellStyle name="Normal_Units_1" xfId="234"/>
    <cellStyle name="Percent" xfId="235"/>
    <cellStyle name="Percent_laroux" xfId="236"/>
    <cellStyle name="Percent_USW" xfId="237"/>
    <cellStyle name="Total" xfId="238"/>
    <cellStyle name="Total_USW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17</xdr:row>
      <xdr:rowOff>57150</xdr:rowOff>
    </xdr:from>
    <xdr:to>
      <xdr:col>5</xdr:col>
      <xdr:colOff>104775</xdr:colOff>
      <xdr:row>17</xdr:row>
      <xdr:rowOff>161925</xdr:rowOff>
    </xdr:to>
    <xdr:sp>
      <xdr:nvSpPr>
        <xdr:cNvPr id="1" name="Oval 4"/>
        <xdr:cNvSpPr>
          <a:spLocks/>
        </xdr:cNvSpPr>
      </xdr:nvSpPr>
      <xdr:spPr>
        <a:xfrm>
          <a:off x="2238375" y="35623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57150</xdr:rowOff>
    </xdr:from>
    <xdr:to>
      <xdr:col>7</xdr:col>
      <xdr:colOff>142875</xdr:colOff>
      <xdr:row>21</xdr:row>
      <xdr:rowOff>161925</xdr:rowOff>
    </xdr:to>
    <xdr:sp>
      <xdr:nvSpPr>
        <xdr:cNvPr id="2" name="Oval 9"/>
        <xdr:cNvSpPr>
          <a:spLocks/>
        </xdr:cNvSpPr>
      </xdr:nvSpPr>
      <xdr:spPr>
        <a:xfrm>
          <a:off x="4410075" y="43624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AH\CONSOL%20AC\YE%206.2000\March%202000\AAB%20Consol%206.1999(after%20IEC%20Adj%20&amp;%20A%20Leasing%20Adj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HAH\CONSOL%20AC\YE%206.1999\AAB%20Consol%206.1999(per%20draft%20acs)%20Amended%20DKL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HAH\CONSOL%20AC\YE%206.1999\Auditor's%20File\AAB%20Consol%206.1999%20final%20audit%20draft%20amended%20by%20Sha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HAH\CONSOL%20AC\YE%206.2000\June%202000\AAB%20Consol%2006.2000%20I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HAH\CONSOL%20AC\YE%206.1999\Auditor's%20File\AAB%20Consol%206.1999%20(Amended%20by%20Shah%20to%20tally%20to%20final%20audited%20Accounts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HAH\CONSOL%20AC\YE%206.1999\Auditor's%20File\SHAH\AABA&amp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Con B&amp;S Journals"/>
      <sheetName val="Con P&amp;L Journals"/>
      <sheetName val="Journals"/>
      <sheetName val="KLSE"/>
    </sheetNames>
    <sheetDataSet>
      <sheetData sheetId="0">
        <row r="48">
          <cell r="L48">
            <v>160291</v>
          </cell>
          <cell r="M48">
            <v>138366</v>
          </cell>
          <cell r="N48">
            <v>0</v>
          </cell>
          <cell r="O48">
            <v>0</v>
          </cell>
          <cell r="P48">
            <v>8471622.31</v>
          </cell>
          <cell r="Q48">
            <v>6280856.79</v>
          </cell>
          <cell r="R48">
            <v>9217213</v>
          </cell>
          <cell r="S48">
            <v>0</v>
          </cell>
          <cell r="T48">
            <v>369194</v>
          </cell>
          <cell r="U48">
            <v>4748606.899999999</v>
          </cell>
          <cell r="V48">
            <v>19203759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48589909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Sheet1"/>
      <sheetName val="Con B&amp;S Journals"/>
      <sheetName val="Con P&amp;L Journals"/>
      <sheetName val="Journals"/>
      <sheetName val="AA"/>
      <sheetName val="KLSE"/>
      <sheetName val="Journals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Sheet1"/>
      <sheetName val="Sheet2"/>
      <sheetName val="Con B&amp;S Journals"/>
      <sheetName val="Con P&amp;L Journals"/>
      <sheetName val="Journals"/>
      <sheetName val="AA"/>
      <sheetName val="KLSE"/>
    </sheetNames>
    <sheetDataSet>
      <sheetData sheetId="0">
        <row r="27">
          <cell r="B27">
            <v>0</v>
          </cell>
          <cell r="C27">
            <v>163557049</v>
          </cell>
          <cell r="D27">
            <v>46000000</v>
          </cell>
          <cell r="E27">
            <v>209557049</v>
          </cell>
          <cell r="F27" t="str">
            <v> </v>
          </cell>
          <cell r="G27" t="str">
            <v> </v>
          </cell>
          <cell r="H27">
            <v>209557049</v>
          </cell>
          <cell r="K27" t="str">
            <v>PROPERTY DEVELOPMENT EXPENDITURES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121553042</v>
          </cell>
          <cell r="S27">
            <v>0</v>
          </cell>
          <cell r="T27">
            <v>2800000</v>
          </cell>
          <cell r="U27">
            <v>0</v>
          </cell>
          <cell r="V27">
            <v>0</v>
          </cell>
          <cell r="W27">
            <v>32000000</v>
          </cell>
          <cell r="X27">
            <v>0</v>
          </cell>
          <cell r="Y27">
            <v>2511000</v>
          </cell>
          <cell r="Z27">
            <v>4693007</v>
          </cell>
          <cell r="AA27">
            <v>163557049</v>
          </cell>
          <cell r="AD27" t="str">
            <v>PROPERTY DEVELOPMENT EXPENDITURES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2086000</v>
          </cell>
          <cell r="AO27">
            <v>425000</v>
          </cell>
          <cell r="AP27">
            <v>0</v>
          </cell>
          <cell r="AQ27">
            <v>2511000</v>
          </cell>
          <cell r="AT27" t="str">
            <v>PROPERTY DEVELOPMENT EXPENDITURES</v>
          </cell>
          <cell r="AU27">
            <v>4693007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4693007</v>
          </cell>
          <cell r="BG27" t="str">
            <v>PROPERTY DEVELOPMENT EXPENDITURES</v>
          </cell>
          <cell r="BH27">
            <v>0</v>
          </cell>
          <cell r="BI27">
            <v>0</v>
          </cell>
          <cell r="BJ27">
            <v>46000000</v>
          </cell>
          <cell r="BK27">
            <v>46000000</v>
          </cell>
        </row>
        <row r="28">
          <cell r="B28">
            <v>18017581</v>
          </cell>
          <cell r="C28">
            <v>181716604</v>
          </cell>
          <cell r="D28">
            <v>8561</v>
          </cell>
          <cell r="E28">
            <v>199742746</v>
          </cell>
          <cell r="G28">
            <v>1137728</v>
          </cell>
          <cell r="H28">
            <v>198605018</v>
          </cell>
          <cell r="K28" t="str">
            <v>OTHER INVESTMENTS</v>
          </cell>
          <cell r="L28">
            <v>42000000</v>
          </cell>
          <cell r="M28">
            <v>107100000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9949947</v>
          </cell>
          <cell r="S28">
            <v>0</v>
          </cell>
          <cell r="T28">
            <v>0</v>
          </cell>
          <cell r="U28">
            <v>0</v>
          </cell>
          <cell r="V28">
            <v>22666657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181716604</v>
          </cell>
          <cell r="AD28" t="str">
            <v>OTHER INVESTMENTS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T28" t="str">
            <v>OTHER INVESTMENTS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G28" t="str">
            <v>OTHER INVESTMENTS</v>
          </cell>
          <cell r="BH28">
            <v>3561</v>
          </cell>
          <cell r="BI28">
            <v>5000</v>
          </cell>
          <cell r="BJ28">
            <v>0</v>
          </cell>
          <cell r="BK28">
            <v>8561</v>
          </cell>
        </row>
        <row r="32">
          <cell r="B32">
            <v>0</v>
          </cell>
          <cell r="C32">
            <v>32825810</v>
          </cell>
          <cell r="D32">
            <v>0</v>
          </cell>
          <cell r="E32">
            <v>32825810</v>
          </cell>
          <cell r="F32">
            <v>54192118</v>
          </cell>
          <cell r="G32">
            <v>22671930</v>
          </cell>
          <cell r="H32">
            <v>64345998</v>
          </cell>
          <cell r="K32" t="str">
            <v>     Property Development Expenditure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15885420</v>
          </cell>
          <cell r="Q32">
            <v>237123</v>
          </cell>
          <cell r="R32">
            <v>16703267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32825810</v>
          </cell>
          <cell r="AD32" t="str">
            <v>     Property Development Expenditure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T32" t="str">
            <v>     Property Development Expenditure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 t="str">
            <v>     Property Development Expenditure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62">
          <cell r="B62">
            <v>1705667</v>
          </cell>
          <cell r="C62">
            <v>13313274</v>
          </cell>
          <cell r="D62">
            <v>28689</v>
          </cell>
          <cell r="E62">
            <v>15047630</v>
          </cell>
          <cell r="F62">
            <v>0</v>
          </cell>
          <cell r="G62">
            <v>0</v>
          </cell>
          <cell r="H62">
            <v>15047630</v>
          </cell>
          <cell r="K62" t="str">
            <v>     Taxation</v>
          </cell>
          <cell r="L62">
            <v>1628717</v>
          </cell>
          <cell r="M62">
            <v>1404066</v>
          </cell>
          <cell r="N62">
            <v>7630</v>
          </cell>
          <cell r="O62">
            <v>9450</v>
          </cell>
          <cell r="P62">
            <v>0</v>
          </cell>
          <cell r="Q62">
            <v>1496</v>
          </cell>
          <cell r="R62">
            <v>5738000</v>
          </cell>
          <cell r="S62">
            <v>4219</v>
          </cell>
          <cell r="T62">
            <v>0</v>
          </cell>
          <cell r="U62">
            <v>600000</v>
          </cell>
          <cell r="V62">
            <v>3700000</v>
          </cell>
          <cell r="W62">
            <v>0</v>
          </cell>
          <cell r="X62">
            <v>219623</v>
          </cell>
          <cell r="Y62">
            <v>0</v>
          </cell>
          <cell r="Z62">
            <v>73</v>
          </cell>
          <cell r="AA62">
            <v>13313274</v>
          </cell>
          <cell r="AD62" t="str">
            <v>     Taxation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T62" t="str">
            <v>     Taxation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73</v>
          </cell>
          <cell r="BD62">
            <v>73</v>
          </cell>
          <cell r="BG62" t="str">
            <v>     Taxation</v>
          </cell>
          <cell r="BH62">
            <v>0</v>
          </cell>
          <cell r="BI62">
            <v>26422</v>
          </cell>
          <cell r="BJ62">
            <v>2267</v>
          </cell>
          <cell r="BK62">
            <v>28689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Con B&amp;S Journals"/>
      <sheetName val="Con P&amp;L Journals"/>
      <sheetName val="Journals "/>
      <sheetName val="Sheet1"/>
      <sheetName val="KLSE PL"/>
      <sheetName val="KLSE BS"/>
      <sheetName val="KLSE Notes"/>
    </sheetNames>
    <sheetDataSet>
      <sheetData sheetId="0">
        <row r="13">
          <cell r="H13">
            <v>-391394025.08599985</v>
          </cell>
        </row>
      </sheetData>
      <sheetData sheetId="1">
        <row r="43">
          <cell r="AA43">
            <v>-2245586.46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Con B&amp;S Journals"/>
      <sheetName val="Con P&amp;L Journals"/>
      <sheetName val="Journals"/>
      <sheetName val="AA"/>
      <sheetName val="KLS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Q168"/>
  <sheetViews>
    <sheetView showGridLines="0" zoomScale="75" zoomScaleNormal="75" workbookViewId="0" topLeftCell="A1">
      <pane xSplit="1" ySplit="6" topLeftCell="G11" activePane="bottomRight" state="frozen"/>
      <selection pane="topLeft" activeCell="A6" sqref="A6"/>
      <selection pane="topRight" activeCell="B6" sqref="B6"/>
      <selection pane="bottomLeft" activeCell="A6" sqref="A6"/>
      <selection pane="bottomRight" activeCell="F2" sqref="F2"/>
    </sheetView>
  </sheetViews>
  <sheetFormatPr defaultColWidth="12.7109375" defaultRowHeight="12.75"/>
  <cols>
    <col min="1" max="1" width="42.7109375" style="4" customWidth="1"/>
    <col min="2" max="5" width="12.7109375" style="4" customWidth="1"/>
    <col min="6" max="7" width="14.7109375" style="4" bestFit="1" customWidth="1"/>
    <col min="8" max="9" width="12.7109375" style="4" customWidth="1"/>
    <col min="10" max="10" width="11.7109375" style="4" bestFit="1" customWidth="1"/>
    <col min="11" max="11" width="42.7109375" style="4" customWidth="1"/>
    <col min="12" max="15" width="12.7109375" style="4" customWidth="1"/>
    <col min="16" max="16" width="11.7109375" style="0" customWidth="1"/>
    <col min="17" max="22" width="12.7109375" style="4" customWidth="1"/>
    <col min="23" max="23" width="11.7109375" style="0" customWidth="1"/>
    <col min="24" max="27" width="12.7109375" style="4" customWidth="1"/>
    <col min="28" max="28" width="7.7109375" style="4" customWidth="1"/>
    <col min="29" max="29" width="6.7109375" style="4" customWidth="1"/>
    <col min="30" max="30" width="42.7109375" style="4" customWidth="1"/>
    <col min="31" max="43" width="12.7109375" style="4" customWidth="1"/>
    <col min="44" max="44" width="10.28125" style="4" bestFit="1" customWidth="1"/>
    <col min="45" max="45" width="8.7109375" style="4" customWidth="1"/>
    <col min="46" max="46" width="42.7109375" style="4" customWidth="1"/>
    <col min="47" max="56" width="12.7109375" style="4" customWidth="1"/>
    <col min="57" max="57" width="8.7109375" style="4" customWidth="1"/>
    <col min="58" max="58" width="8.7109375" style="332" customWidth="1"/>
    <col min="59" max="59" width="42.7109375" style="4" customWidth="1"/>
    <col min="60" max="60" width="11.57421875" style="0" customWidth="1"/>
    <col min="61" max="61" width="12.7109375" style="4" customWidth="1"/>
    <col min="62" max="62" width="14.00390625" style="0" bestFit="1" customWidth="1"/>
    <col min="63" max="67" width="12.7109375" style="4" customWidth="1"/>
    <col min="68" max="16384" width="12.7109375" style="5" customWidth="1"/>
  </cols>
  <sheetData>
    <row r="1" spans="1:67" ht="18" customHeight="1">
      <c r="A1" s="88" t="s">
        <v>1383</v>
      </c>
      <c r="B1" s="303"/>
      <c r="C1" s="303"/>
      <c r="D1" s="304"/>
      <c r="E1" s="1"/>
      <c r="F1" s="1"/>
      <c r="G1" s="314"/>
      <c r="H1" s="314"/>
      <c r="I1" s="1"/>
      <c r="J1" s="1"/>
      <c r="K1" s="2" t="s">
        <v>1383</v>
      </c>
      <c r="L1" s="1"/>
      <c r="M1" s="1"/>
      <c r="N1" s="1"/>
      <c r="O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  <c r="AD1" s="2" t="s">
        <v>1383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52" t="s">
        <v>537</v>
      </c>
      <c r="AR1" s="1"/>
      <c r="AS1" s="1"/>
      <c r="AT1" s="2" t="s">
        <v>1383</v>
      </c>
      <c r="AU1" s="1"/>
      <c r="AW1" s="1"/>
      <c r="AX1" s="1"/>
      <c r="AY1" s="1"/>
      <c r="AZ1" s="1"/>
      <c r="BA1" s="1"/>
      <c r="BB1" s="1"/>
      <c r="BC1" s="1"/>
      <c r="BD1" s="152" t="s">
        <v>538</v>
      </c>
      <c r="BE1" s="1"/>
      <c r="BF1" s="304"/>
      <c r="BG1" s="2" t="s">
        <v>1383</v>
      </c>
      <c r="BI1" s="1"/>
      <c r="BK1" s="7"/>
      <c r="BL1" s="1"/>
      <c r="BM1" s="1"/>
      <c r="BN1" s="1"/>
      <c r="BO1" s="1"/>
    </row>
    <row r="2" spans="1:67" ht="18" customHeight="1">
      <c r="A2" s="89" t="s">
        <v>1385</v>
      </c>
      <c r="C2" s="332"/>
      <c r="D2" s="1"/>
      <c r="E2" s="1"/>
      <c r="F2" s="1"/>
      <c r="G2" s="1"/>
      <c r="H2" s="1"/>
      <c r="I2" s="396"/>
      <c r="J2" s="1"/>
      <c r="K2" s="6" t="s">
        <v>1391</v>
      </c>
      <c r="L2" s="1"/>
      <c r="M2" s="1"/>
      <c r="N2" s="1"/>
      <c r="O2" s="1"/>
      <c r="Q2" s="1"/>
      <c r="R2" s="352"/>
      <c r="S2" s="1"/>
      <c r="T2" s="27"/>
      <c r="U2" s="1"/>
      <c r="V2" s="41"/>
      <c r="X2" s="1"/>
      <c r="Y2" s="1"/>
      <c r="Z2" s="1"/>
      <c r="AA2" s="1"/>
      <c r="AB2" s="1"/>
      <c r="AC2" s="1"/>
      <c r="AD2" s="6" t="s">
        <v>1392</v>
      </c>
      <c r="AE2" s="1"/>
      <c r="AF2" s="1"/>
      <c r="AG2" s="1"/>
      <c r="AH2" s="1"/>
      <c r="AI2" s="1"/>
      <c r="AJ2" s="1"/>
      <c r="AK2" s="1"/>
      <c r="AL2" s="1"/>
      <c r="AM2" s="1"/>
      <c r="AN2" s="4" t="s">
        <v>9</v>
      </c>
      <c r="AO2" s="1"/>
      <c r="AP2" s="1"/>
      <c r="AQ2" s="1"/>
      <c r="AR2" s="1"/>
      <c r="AS2" s="1"/>
      <c r="AT2" s="6" t="s">
        <v>1393</v>
      </c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04"/>
      <c r="BG2" s="6" t="s">
        <v>1394</v>
      </c>
      <c r="BI2" s="1"/>
      <c r="BL2" s="1"/>
      <c r="BM2" s="1"/>
      <c r="BN2" s="1"/>
      <c r="BO2" s="1"/>
    </row>
    <row r="3" spans="1:67" ht="18" customHeight="1">
      <c r="A3" s="88" t="s">
        <v>354</v>
      </c>
      <c r="B3" s="27"/>
      <c r="C3" s="1"/>
      <c r="D3" s="1"/>
      <c r="E3" s="1"/>
      <c r="F3" s="1"/>
      <c r="G3" s="1"/>
      <c r="H3" s="1"/>
      <c r="I3" s="1"/>
      <c r="J3" s="1"/>
      <c r="K3" s="6" t="str">
        <f>A3</f>
        <v>As at 30th September  2000</v>
      </c>
      <c r="L3" s="1"/>
      <c r="M3" s="1"/>
      <c r="N3" s="1"/>
      <c r="O3" s="1"/>
      <c r="Q3" s="1"/>
      <c r="R3" s="27"/>
      <c r="S3" s="1"/>
      <c r="T3" s="1"/>
      <c r="U3" s="1"/>
      <c r="V3" s="1"/>
      <c r="X3" s="1"/>
      <c r="Y3" s="1"/>
      <c r="Z3" s="1"/>
      <c r="AA3" s="1"/>
      <c r="AB3" s="1"/>
      <c r="AC3" s="1"/>
      <c r="AD3" s="6" t="str">
        <f>A3</f>
        <v>As at 30th September  2000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6" t="str">
        <f>A3</f>
        <v>As at 30th September  2000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304"/>
      <c r="BG3" s="6" t="str">
        <f>A3</f>
        <v>As at 30th September  2000</v>
      </c>
      <c r="BI3" s="1"/>
      <c r="BJ3" s="271"/>
      <c r="BK3" s="7"/>
      <c r="BL3" s="1"/>
      <c r="BM3" s="1"/>
      <c r="BN3" s="1"/>
      <c r="BO3" s="1"/>
    </row>
    <row r="4" spans="1:67" s="321" customFormat="1" ht="18" customHeight="1">
      <c r="A4" s="315"/>
      <c r="B4" s="316"/>
      <c r="C4" s="317"/>
      <c r="D4" s="317"/>
      <c r="E4" s="317"/>
      <c r="F4" s="317"/>
      <c r="G4" s="318"/>
      <c r="H4" s="318"/>
      <c r="I4" s="318"/>
      <c r="J4" s="318"/>
      <c r="K4" s="317"/>
      <c r="L4" s="316"/>
      <c r="M4" s="316"/>
      <c r="N4" s="316"/>
      <c r="O4" s="316"/>
      <c r="P4" s="319"/>
      <c r="Q4" s="316"/>
      <c r="R4" s="554"/>
      <c r="S4" s="316"/>
      <c r="T4" s="316"/>
      <c r="U4" s="316"/>
      <c r="V4" s="316"/>
      <c r="W4" s="319"/>
      <c r="X4" s="316"/>
      <c r="Y4" s="320" t="s">
        <v>537</v>
      </c>
      <c r="Z4" s="320" t="s">
        <v>538</v>
      </c>
      <c r="AA4" s="317"/>
      <c r="AB4" s="318"/>
      <c r="AC4" s="317"/>
      <c r="AD4" s="317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7"/>
      <c r="AR4" s="318"/>
      <c r="AS4" s="317"/>
      <c r="AT4" s="317"/>
      <c r="AU4" s="316"/>
      <c r="AV4" s="1"/>
      <c r="AW4" s="316"/>
      <c r="AX4" s="316"/>
      <c r="AY4" s="316"/>
      <c r="AZ4" s="316"/>
      <c r="BA4" s="316"/>
      <c r="BB4" s="316"/>
      <c r="BC4" s="316"/>
      <c r="BD4" s="317"/>
      <c r="BE4" s="318"/>
      <c r="BF4" s="317"/>
      <c r="BG4" s="317"/>
      <c r="BH4" s="319"/>
      <c r="BI4" s="553"/>
      <c r="BJ4" s="558"/>
      <c r="BK4" s="316"/>
      <c r="BL4" s="317"/>
      <c r="BM4" s="317"/>
      <c r="BN4" s="318"/>
      <c r="BO4" s="318"/>
    </row>
    <row r="5" spans="1:67" s="18" customFormat="1" ht="16.5" customHeight="1">
      <c r="A5" s="9"/>
      <c r="B5" s="10" t="s">
        <v>387</v>
      </c>
      <c r="C5" s="726" t="s">
        <v>1400</v>
      </c>
      <c r="D5" s="727"/>
      <c r="E5" s="11"/>
      <c r="F5" s="11"/>
      <c r="G5" s="11"/>
      <c r="H5" s="11"/>
      <c r="I5" s="12"/>
      <c r="J5" s="12"/>
      <c r="K5" s="9"/>
      <c r="L5" s="632" t="s">
        <v>1401</v>
      </c>
      <c r="M5" s="632" t="s">
        <v>1401</v>
      </c>
      <c r="N5" s="635" t="s">
        <v>1403</v>
      </c>
      <c r="O5" s="635" t="s">
        <v>1403</v>
      </c>
      <c r="P5" s="629" t="s">
        <v>1404</v>
      </c>
      <c r="Q5" s="635" t="s">
        <v>1404</v>
      </c>
      <c r="R5" s="638" t="s">
        <v>1402</v>
      </c>
      <c r="S5" s="635" t="s">
        <v>1411</v>
      </c>
      <c r="T5" s="635" t="s">
        <v>1418</v>
      </c>
      <c r="U5" s="635" t="s">
        <v>1407</v>
      </c>
      <c r="V5" s="635" t="s">
        <v>1406</v>
      </c>
      <c r="W5" s="629" t="s">
        <v>1416</v>
      </c>
      <c r="X5" s="635" t="s">
        <v>1405</v>
      </c>
      <c r="Y5" s="14" t="s">
        <v>1408</v>
      </c>
      <c r="Z5" s="14" t="s">
        <v>1408</v>
      </c>
      <c r="AA5" s="11"/>
      <c r="AB5" s="12"/>
      <c r="AC5" s="15"/>
      <c r="AD5" s="9"/>
      <c r="AE5" s="632" t="s">
        <v>1409</v>
      </c>
      <c r="AF5" s="632" t="s">
        <v>1410</v>
      </c>
      <c r="AG5" s="632" t="s">
        <v>1410</v>
      </c>
      <c r="AH5" s="632" t="s">
        <v>1410</v>
      </c>
      <c r="AI5" s="632" t="s">
        <v>1410</v>
      </c>
      <c r="AJ5" s="632" t="s">
        <v>1410</v>
      </c>
      <c r="AK5" s="632" t="s">
        <v>1410</v>
      </c>
      <c r="AL5" s="632" t="s">
        <v>1410</v>
      </c>
      <c r="AM5" s="635" t="s">
        <v>1401</v>
      </c>
      <c r="AN5" s="635" t="s">
        <v>1412</v>
      </c>
      <c r="AO5" s="635" t="s">
        <v>1413</v>
      </c>
      <c r="AP5" s="635" t="s">
        <v>1414</v>
      </c>
      <c r="AQ5" s="11"/>
      <c r="AR5" s="12"/>
      <c r="AS5" s="15"/>
      <c r="AT5" s="9"/>
      <c r="AU5" s="639" t="s">
        <v>1415</v>
      </c>
      <c r="AV5" s="635" t="s">
        <v>624</v>
      </c>
      <c r="AW5" s="635" t="s">
        <v>1416</v>
      </c>
      <c r="AX5" s="635" t="s">
        <v>1416</v>
      </c>
      <c r="AY5" s="635" t="s">
        <v>1417</v>
      </c>
      <c r="AZ5" s="635" t="s">
        <v>1404</v>
      </c>
      <c r="BA5" s="635" t="s">
        <v>1404</v>
      </c>
      <c r="BB5" s="635" t="s">
        <v>1404</v>
      </c>
      <c r="BC5" s="635" t="s">
        <v>1419</v>
      </c>
      <c r="BD5" s="11"/>
      <c r="BE5" s="12"/>
      <c r="BF5" s="328"/>
      <c r="BG5" s="9"/>
      <c r="BH5" s="629" t="s">
        <v>1172</v>
      </c>
      <c r="BI5" s="632" t="s">
        <v>1420</v>
      </c>
      <c r="BJ5" s="627" t="s">
        <v>1416</v>
      </c>
      <c r="BK5" s="17"/>
      <c r="BL5" s="11"/>
      <c r="BM5" s="11"/>
      <c r="BN5" s="12"/>
      <c r="BO5" s="12"/>
    </row>
    <row r="6" spans="1:67" s="18" customFormat="1" ht="16.5" customHeight="1">
      <c r="A6" s="19"/>
      <c r="B6" s="20" t="s">
        <v>388</v>
      </c>
      <c r="C6" s="21" t="s">
        <v>1425</v>
      </c>
      <c r="D6" s="21" t="s">
        <v>1426</v>
      </c>
      <c r="E6" s="20" t="s">
        <v>1427</v>
      </c>
      <c r="F6" s="20" t="s">
        <v>1428</v>
      </c>
      <c r="G6" s="20" t="s">
        <v>1429</v>
      </c>
      <c r="H6" s="20" t="s">
        <v>1430</v>
      </c>
      <c r="I6" s="12"/>
      <c r="J6" s="12"/>
      <c r="K6" s="19"/>
      <c r="L6" s="633" t="s">
        <v>1431</v>
      </c>
      <c r="M6" s="633" t="s">
        <v>1432</v>
      </c>
      <c r="N6" s="634" t="s">
        <v>1439</v>
      </c>
      <c r="O6" s="634" t="s">
        <v>1435</v>
      </c>
      <c r="P6" s="630" t="s">
        <v>23</v>
      </c>
      <c r="Q6" s="634" t="s">
        <v>1436</v>
      </c>
      <c r="R6" s="626" t="s">
        <v>1433</v>
      </c>
      <c r="S6" s="634" t="s">
        <v>1449</v>
      </c>
      <c r="T6" s="634" t="s">
        <v>1432</v>
      </c>
      <c r="U6" s="634" t="s">
        <v>1440</v>
      </c>
      <c r="V6" s="634" t="s">
        <v>1438</v>
      </c>
      <c r="W6" s="630" t="s">
        <v>1454</v>
      </c>
      <c r="X6" s="634" t="s">
        <v>1437</v>
      </c>
      <c r="Y6" s="23" t="s">
        <v>385</v>
      </c>
      <c r="Z6" s="23" t="s">
        <v>384</v>
      </c>
      <c r="AA6" s="20" t="s">
        <v>1441</v>
      </c>
      <c r="AB6" s="12"/>
      <c r="AC6" s="15"/>
      <c r="AD6" s="19"/>
      <c r="AE6" s="633"/>
      <c r="AF6" s="633" t="s">
        <v>1442</v>
      </c>
      <c r="AG6" s="634" t="s">
        <v>1443</v>
      </c>
      <c r="AH6" s="634" t="s">
        <v>1444</v>
      </c>
      <c r="AI6" s="634" t="s">
        <v>1445</v>
      </c>
      <c r="AJ6" s="634" t="s">
        <v>1446</v>
      </c>
      <c r="AK6" s="634" t="s">
        <v>1447</v>
      </c>
      <c r="AL6" s="634" t="s">
        <v>1448</v>
      </c>
      <c r="AM6" s="634" t="s">
        <v>1434</v>
      </c>
      <c r="AN6" s="634" t="s">
        <v>1450</v>
      </c>
      <c r="AO6" s="634" t="s">
        <v>1451</v>
      </c>
      <c r="AP6" s="634" t="s">
        <v>1452</v>
      </c>
      <c r="AQ6" s="20" t="s">
        <v>1441</v>
      </c>
      <c r="AR6" s="12"/>
      <c r="AS6" s="15"/>
      <c r="AT6" s="19"/>
      <c r="AU6" s="633" t="s">
        <v>1453</v>
      </c>
      <c r="AV6" s="634" t="s">
        <v>619</v>
      </c>
      <c r="AW6" s="634" t="s">
        <v>1460</v>
      </c>
      <c r="AX6" s="634" t="s">
        <v>1461</v>
      </c>
      <c r="AY6" s="634" t="s">
        <v>1462</v>
      </c>
      <c r="AZ6" s="634" t="s">
        <v>1463</v>
      </c>
      <c r="BA6" s="634" t="s">
        <v>341</v>
      </c>
      <c r="BB6" s="634" t="s">
        <v>1464</v>
      </c>
      <c r="BC6" s="634" t="s">
        <v>1465</v>
      </c>
      <c r="BD6" s="20" t="s">
        <v>1441</v>
      </c>
      <c r="BE6" s="12"/>
      <c r="BF6" s="328"/>
      <c r="BG6" s="19"/>
      <c r="BH6" s="630" t="s">
        <v>1466</v>
      </c>
      <c r="BI6" s="633" t="s">
        <v>722</v>
      </c>
      <c r="BJ6" s="626" t="s">
        <v>28</v>
      </c>
      <c r="BK6" s="24"/>
      <c r="BL6" s="20"/>
      <c r="BM6" s="20" t="s">
        <v>1441</v>
      </c>
      <c r="BN6" s="12"/>
      <c r="BO6" s="12"/>
    </row>
    <row r="7" spans="1:67" ht="16.5" customHeight="1">
      <c r="A7" s="420" t="s">
        <v>1</v>
      </c>
      <c r="B7" s="284"/>
      <c r="C7" s="26"/>
      <c r="D7" s="26"/>
      <c r="E7" s="26"/>
      <c r="F7" s="26"/>
      <c r="G7" s="26"/>
      <c r="H7" s="26"/>
      <c r="I7" s="27"/>
      <c r="J7" s="27"/>
      <c r="K7" s="25" t="s">
        <v>1</v>
      </c>
      <c r="L7" s="26"/>
      <c r="M7" s="26"/>
      <c r="N7" s="26"/>
      <c r="O7" s="26"/>
      <c r="P7" s="283"/>
      <c r="Q7" s="26"/>
      <c r="R7" s="26"/>
      <c r="S7" s="26"/>
      <c r="T7" s="26"/>
      <c r="U7" s="26"/>
      <c r="V7" s="26"/>
      <c r="W7" s="283"/>
      <c r="X7" s="26"/>
      <c r="Y7" s="26"/>
      <c r="Z7" s="26"/>
      <c r="AA7" s="26"/>
      <c r="AB7" s="27"/>
      <c r="AC7" s="28"/>
      <c r="AD7" s="25" t="s">
        <v>1</v>
      </c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7"/>
      <c r="AS7" s="28"/>
      <c r="AT7" s="25" t="s">
        <v>1</v>
      </c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329"/>
      <c r="BG7" s="25" t="s">
        <v>1</v>
      </c>
      <c r="BH7" s="283"/>
      <c r="BI7" s="26"/>
      <c r="BJ7" s="272"/>
      <c r="BK7" s="26"/>
      <c r="BL7" s="26"/>
      <c r="BM7" s="26"/>
      <c r="BN7" s="27"/>
      <c r="BO7" s="27"/>
    </row>
    <row r="8" spans="1:68" ht="16.5" customHeight="1">
      <c r="A8" s="376" t="s">
        <v>389</v>
      </c>
      <c r="B8" s="29">
        <v>188275313</v>
      </c>
      <c r="C8" s="26">
        <f>AA8</f>
        <v>75911533</v>
      </c>
      <c r="D8" s="26">
        <f>BM8</f>
        <v>5750000</v>
      </c>
      <c r="E8" s="26">
        <f>SUM(B8:D8)</f>
        <v>269936846</v>
      </c>
      <c r="F8" s="26">
        <f>'Con B&amp;S Journals'!E53</f>
        <v>81661533</v>
      </c>
      <c r="G8" s="26">
        <f>'Con B&amp;S Journals'!F53</f>
        <v>0</v>
      </c>
      <c r="H8" s="26">
        <f>E8-F8+G8</f>
        <v>188275313</v>
      </c>
      <c r="I8" s="640" t="str">
        <f>IF(B8-H8=0,"Shr Cap OK","WRONG")</f>
        <v>Shr Cap OK</v>
      </c>
      <c r="J8" s="27"/>
      <c r="K8" s="29" t="s">
        <v>389</v>
      </c>
      <c r="L8" s="26">
        <v>30000000</v>
      </c>
      <c r="M8" s="26">
        <v>2</v>
      </c>
      <c r="N8" s="26">
        <v>2000000</v>
      </c>
      <c r="O8" s="26">
        <v>2</v>
      </c>
      <c r="P8" s="281">
        <v>500000</v>
      </c>
      <c r="Q8" s="26">
        <v>1000000</v>
      </c>
      <c r="R8" s="26">
        <v>10000000</v>
      </c>
      <c r="S8" s="26">
        <v>2</v>
      </c>
      <c r="T8" s="26">
        <v>10000</v>
      </c>
      <c r="U8" s="26">
        <f>500000</f>
        <v>500000</v>
      </c>
      <c r="V8" s="26">
        <v>27111492</v>
      </c>
      <c r="W8" s="281">
        <v>2</v>
      </c>
      <c r="X8" s="26">
        <v>100000</v>
      </c>
      <c r="Y8" s="26">
        <f>AQ8</f>
        <v>4250017</v>
      </c>
      <c r="Z8" s="26">
        <f>BD8</f>
        <v>440016</v>
      </c>
      <c r="AA8" s="26">
        <f>SUM(L8:Z8)</f>
        <v>75911533</v>
      </c>
      <c r="AB8" s="27"/>
      <c r="AC8" s="28"/>
      <c r="AD8" s="29" t="s">
        <v>389</v>
      </c>
      <c r="AE8" s="26">
        <v>100000</v>
      </c>
      <c r="AF8" s="26">
        <v>2</v>
      </c>
      <c r="AG8" s="26">
        <v>2</v>
      </c>
      <c r="AH8" s="26">
        <v>3200002</v>
      </c>
      <c r="AI8" s="26">
        <v>2</v>
      </c>
      <c r="AJ8" s="26">
        <v>2</v>
      </c>
      <c r="AK8" s="26">
        <v>2.5</v>
      </c>
      <c r="AL8" s="26">
        <v>2.5</v>
      </c>
      <c r="AM8" s="26">
        <v>500000</v>
      </c>
      <c r="AN8" s="26">
        <v>2</v>
      </c>
      <c r="AO8" s="26">
        <v>250000</v>
      </c>
      <c r="AP8" s="26">
        <v>200000</v>
      </c>
      <c r="AQ8" s="26">
        <f>SUM(AE8:AP8)</f>
        <v>4250017</v>
      </c>
      <c r="AR8" s="28"/>
      <c r="AS8" s="28"/>
      <c r="AT8" s="29" t="s">
        <v>389</v>
      </c>
      <c r="AU8" s="26">
        <v>2</v>
      </c>
      <c r="AV8" s="26">
        <v>2</v>
      </c>
      <c r="AW8" s="26">
        <v>2</v>
      </c>
      <c r="AX8" s="26">
        <v>2</v>
      </c>
      <c r="AY8" s="26">
        <v>2</v>
      </c>
      <c r="AZ8" s="26">
        <v>2</v>
      </c>
      <c r="BA8" s="26">
        <v>2</v>
      </c>
      <c r="BB8" s="26">
        <v>2</v>
      </c>
      <c r="BC8" s="26">
        <v>440000</v>
      </c>
      <c r="BD8" s="26">
        <f>SUM(AU8:BC8)</f>
        <v>440016</v>
      </c>
      <c r="BE8" s="28"/>
      <c r="BF8" s="329"/>
      <c r="BG8" s="29" t="s">
        <v>389</v>
      </c>
      <c r="BH8" s="281">
        <v>1500000</v>
      </c>
      <c r="BI8" s="26">
        <v>4000000</v>
      </c>
      <c r="BJ8" s="273">
        <v>250000</v>
      </c>
      <c r="BK8" s="26"/>
      <c r="BL8" s="26">
        <v>0</v>
      </c>
      <c r="BM8" s="26">
        <f>SUM(BH8:BL8)</f>
        <v>5750000</v>
      </c>
      <c r="BN8" s="27"/>
      <c r="BO8" s="27"/>
      <c r="BP8" s="301"/>
    </row>
    <row r="9" spans="1:67" ht="16.5" customHeight="1">
      <c r="A9" s="376" t="s">
        <v>390</v>
      </c>
      <c r="B9" s="29">
        <v>0</v>
      </c>
      <c r="C9" s="26">
        <f>AA9</f>
        <v>0</v>
      </c>
      <c r="D9" s="26">
        <f>BM9</f>
        <v>0</v>
      </c>
      <c r="E9" s="26">
        <f>SUM(B9:D9)</f>
        <v>0</v>
      </c>
      <c r="F9" s="26">
        <f>'Con B&amp;S Journals'!E68</f>
        <v>0</v>
      </c>
      <c r="G9" s="26">
        <f>'Con B&amp;S Journals'!F68</f>
        <v>0</v>
      </c>
      <c r="H9" s="26">
        <f>E9-F9+G9</f>
        <v>0</v>
      </c>
      <c r="I9" s="27"/>
      <c r="J9" s="27"/>
      <c r="K9" s="29" t="s">
        <v>390</v>
      </c>
      <c r="L9" s="26">
        <v>0</v>
      </c>
      <c r="M9" s="26">
        <v>0</v>
      </c>
      <c r="N9" s="26">
        <v>0</v>
      </c>
      <c r="O9" s="26">
        <v>0</v>
      </c>
      <c r="P9" s="281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81">
        <v>0</v>
      </c>
      <c r="X9" s="26">
        <v>0</v>
      </c>
      <c r="Y9" s="26">
        <f>AQ9</f>
        <v>0</v>
      </c>
      <c r="Z9" s="26">
        <f>BD9</f>
        <v>0</v>
      </c>
      <c r="AA9" s="26">
        <f>SUM(L9:Z9)</f>
        <v>0</v>
      </c>
      <c r="AB9" s="27"/>
      <c r="AC9" s="28"/>
      <c r="AD9" s="29" t="s">
        <v>390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f>SUM(AE9:AP9)</f>
        <v>0</v>
      </c>
      <c r="AR9" s="27"/>
      <c r="AS9" s="28"/>
      <c r="AT9" s="29" t="s">
        <v>390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f>SUM(AU9:BC9)</f>
        <v>0</v>
      </c>
      <c r="BE9" s="27"/>
      <c r="BF9" s="329"/>
      <c r="BG9" s="29" t="s">
        <v>390</v>
      </c>
      <c r="BH9" s="281">
        <v>0</v>
      </c>
      <c r="BI9" s="26"/>
      <c r="BJ9" s="273">
        <v>0</v>
      </c>
      <c r="BK9" s="26"/>
      <c r="BL9" s="26">
        <v>0</v>
      </c>
      <c r="BM9" s="26">
        <f>SUM(BH9:BL9)</f>
        <v>0</v>
      </c>
      <c r="BN9" s="27"/>
      <c r="BO9" s="27"/>
    </row>
    <row r="10" spans="1:67" ht="16.5" customHeight="1">
      <c r="A10" s="376" t="s">
        <v>391</v>
      </c>
      <c r="B10" s="29">
        <v>403165878</v>
      </c>
      <c r="C10" s="26">
        <f>AA10</f>
        <v>10643376</v>
      </c>
      <c r="D10" s="26">
        <f>BM10</f>
        <v>671918</v>
      </c>
      <c r="E10" s="26">
        <f>SUM(B10:D10)</f>
        <v>414481172</v>
      </c>
      <c r="F10" s="26">
        <f>'Con B&amp;S Journals'!E89</f>
        <v>45060103</v>
      </c>
      <c r="G10" s="26">
        <f>'Con B&amp;S Journals'!F89</f>
        <v>59128220</v>
      </c>
      <c r="H10" s="26">
        <f>E10-F10+G10</f>
        <v>428549289</v>
      </c>
      <c r="I10" s="27"/>
      <c r="J10" s="27"/>
      <c r="K10" s="29" t="s">
        <v>391</v>
      </c>
      <c r="L10" s="26">
        <v>10639376</v>
      </c>
      <c r="M10" s="26">
        <v>0</v>
      </c>
      <c r="N10" s="26">
        <v>0</v>
      </c>
      <c r="O10" s="26">
        <v>0</v>
      </c>
      <c r="P10" s="281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81">
        <v>0</v>
      </c>
      <c r="X10" s="26">
        <v>0</v>
      </c>
      <c r="Y10" s="26">
        <f>AQ10</f>
        <v>0</v>
      </c>
      <c r="Z10" s="26">
        <f>BD10</f>
        <v>4000</v>
      </c>
      <c r="AA10" s="26">
        <f>SUM(L10:Z10)</f>
        <v>10643376</v>
      </c>
      <c r="AB10" s="27"/>
      <c r="AC10" s="28"/>
      <c r="AD10" s="29" t="s">
        <v>391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f>SUM(AE10:AP10)</f>
        <v>0</v>
      </c>
      <c r="AR10" s="27"/>
      <c r="AS10" s="28"/>
      <c r="AT10" s="29" t="s">
        <v>391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4000</v>
      </c>
      <c r="BD10" s="26">
        <f>SUM(AU10:BC10)</f>
        <v>4000</v>
      </c>
      <c r="BE10" s="27"/>
      <c r="BF10" s="329"/>
      <c r="BG10" s="29" t="s">
        <v>391</v>
      </c>
      <c r="BH10" s="281">
        <v>0</v>
      </c>
      <c r="BI10" s="26">
        <f>671918</f>
        <v>671918</v>
      </c>
      <c r="BJ10" s="273">
        <v>0</v>
      </c>
      <c r="BK10" s="26"/>
      <c r="BL10" s="26">
        <v>0</v>
      </c>
      <c r="BM10" s="26">
        <f>SUM(BH10:BL10)</f>
        <v>671918</v>
      </c>
      <c r="BN10" s="27"/>
      <c r="BO10" s="27"/>
    </row>
    <row r="11" spans="1:67" ht="16.5" customHeight="1">
      <c r="A11" s="376" t="s">
        <v>392</v>
      </c>
      <c r="B11" s="29">
        <v>0</v>
      </c>
      <c r="C11" s="26">
        <f>AA11</f>
        <v>0</v>
      </c>
      <c r="D11" s="26">
        <f>BM11</f>
        <v>0</v>
      </c>
      <c r="E11" s="26">
        <f>SUM(B11:D11)</f>
        <v>0</v>
      </c>
      <c r="F11" s="26">
        <f>'Con B&amp;S Journals'!E101</f>
        <v>1504551</v>
      </c>
      <c r="G11" s="26">
        <f>'Con B&amp;S Journals'!F101</f>
        <v>2600081</v>
      </c>
      <c r="H11" s="26">
        <f>E11-F11+G11</f>
        <v>1095530</v>
      </c>
      <c r="I11" s="27">
        <f>SUM(H9:H11)</f>
        <v>429644819</v>
      </c>
      <c r="J11" s="27"/>
      <c r="K11" s="29" t="s">
        <v>392</v>
      </c>
      <c r="L11" s="26">
        <v>0</v>
      </c>
      <c r="M11" s="26">
        <v>0</v>
      </c>
      <c r="N11" s="26">
        <v>0</v>
      </c>
      <c r="O11" s="26">
        <v>0</v>
      </c>
      <c r="P11" s="281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81">
        <v>0</v>
      </c>
      <c r="X11" s="26">
        <v>0</v>
      </c>
      <c r="Y11" s="26">
        <f>AQ11</f>
        <v>0</v>
      </c>
      <c r="Z11" s="26">
        <f>BD11</f>
        <v>0</v>
      </c>
      <c r="AA11" s="26">
        <f>SUM(L11:Z11)</f>
        <v>0</v>
      </c>
      <c r="AB11" s="27"/>
      <c r="AC11" s="28"/>
      <c r="AD11" s="29" t="s">
        <v>392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f>SUM(AE11:AP11)</f>
        <v>0</v>
      </c>
      <c r="AR11" s="27"/>
      <c r="AS11" s="28"/>
      <c r="AT11" s="29" t="s">
        <v>392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f>SUM(AU11:BC11)</f>
        <v>0</v>
      </c>
      <c r="BE11" s="27"/>
      <c r="BF11" s="329"/>
      <c r="BG11" s="29" t="s">
        <v>392</v>
      </c>
      <c r="BH11" s="281">
        <v>0</v>
      </c>
      <c r="BI11" s="26"/>
      <c r="BJ11" s="273">
        <v>0</v>
      </c>
      <c r="BK11" s="26"/>
      <c r="BL11" s="26">
        <v>0</v>
      </c>
      <c r="BM11" s="26">
        <f>SUM(BH11:BL11)</f>
        <v>0</v>
      </c>
      <c r="BN11" s="27"/>
      <c r="BO11" s="27"/>
    </row>
    <row r="12" spans="1:67" ht="16.5" customHeight="1">
      <c r="A12" s="376" t="s">
        <v>393</v>
      </c>
      <c r="B12" s="34">
        <f>'Con P&amp;L'!C43</f>
        <v>-818119674</v>
      </c>
      <c r="C12" s="31">
        <f>AA12</f>
        <v>-563616612.502</v>
      </c>
      <c r="D12" s="31">
        <f>BM12</f>
        <v>-88500920.09</v>
      </c>
      <c r="E12" s="31">
        <f>SUM(B12:D12)</f>
        <v>-1470237206.5919998</v>
      </c>
      <c r="F12" s="26">
        <f>'Con P&amp;L'!$G$43</f>
        <v>247974489</v>
      </c>
      <c r="G12" s="26">
        <f>'Con P&amp;L'!$H$43</f>
        <v>681720091.508</v>
      </c>
      <c r="H12" s="31">
        <f>E12-F12+G12</f>
        <v>-1036491604.0839998</v>
      </c>
      <c r="I12" s="171">
        <f>SUM(H9:H12)</f>
        <v>-606846785.0839998</v>
      </c>
      <c r="J12" s="27"/>
      <c r="K12" s="29" t="s">
        <v>393</v>
      </c>
      <c r="L12" s="31">
        <f>'Con P&amp;L'!M43</f>
        <v>7164691.048</v>
      </c>
      <c r="M12" s="31">
        <f>'Con P&amp;L'!N43</f>
        <v>-27043353.4</v>
      </c>
      <c r="N12" s="31">
        <f>'Con P&amp;L'!O43</f>
        <v>-78488262</v>
      </c>
      <c r="O12" s="31">
        <f>'Con P&amp;L'!P43</f>
        <v>-17716275</v>
      </c>
      <c r="P12" s="31">
        <f>'Con P&amp;L'!Q43</f>
        <v>-5332944</v>
      </c>
      <c r="Q12" s="31">
        <f>'Con P&amp;L'!R43</f>
        <v>-6662917</v>
      </c>
      <c r="R12" s="31">
        <f>'Con P&amp;L'!S43</f>
        <v>-215294075</v>
      </c>
      <c r="S12" s="31">
        <f>'Con P&amp;L'!T43</f>
        <v>-502783.74</v>
      </c>
      <c r="T12" s="31">
        <f>'Con P&amp;L'!U43</f>
        <v>-3866635</v>
      </c>
      <c r="U12" s="31">
        <f>'Con P&amp;L'!V43</f>
        <v>17508.050000000017</v>
      </c>
      <c r="V12" s="274">
        <f>'Con P&amp;L'!W43</f>
        <v>-172553618</v>
      </c>
      <c r="W12" s="274">
        <f>'Con P&amp;L'!X43</f>
        <v>-6515033.6</v>
      </c>
      <c r="X12" s="31">
        <f>'Con P&amp;L'!Y43</f>
        <v>141311</v>
      </c>
      <c r="Y12" s="31">
        <f>AQ12</f>
        <v>-34717839.57</v>
      </c>
      <c r="Z12" s="31">
        <f>BD12</f>
        <v>-2246386.29</v>
      </c>
      <c r="AA12" s="31">
        <f>SUM(L12:Z12)</f>
        <v>-563616612.502</v>
      </c>
      <c r="AB12" s="27"/>
      <c r="AC12" s="28"/>
      <c r="AD12" s="29" t="s">
        <v>393</v>
      </c>
      <c r="AE12" s="31">
        <f>'Con P&amp;L'!AE43</f>
        <v>-174166.55</v>
      </c>
      <c r="AF12" s="31">
        <f>'Con P&amp;L'!AF43</f>
        <v>-13805.7</v>
      </c>
      <c r="AG12" s="31">
        <f>'Con P&amp;L'!AG43</f>
        <v>-6781742.1</v>
      </c>
      <c r="AH12" s="31">
        <f>'Con P&amp;L'!AH43</f>
        <v>-9015407.8</v>
      </c>
      <c r="AI12" s="31">
        <f>'Con P&amp;L'!AI43</f>
        <v>-5200</v>
      </c>
      <c r="AJ12" s="31">
        <f>'Con P&amp;L'!AJ43</f>
        <v>-5200</v>
      </c>
      <c r="AK12" s="31">
        <f>'Con P&amp;L'!AK43</f>
        <v>-10642.5</v>
      </c>
      <c r="AL12" s="31">
        <f>'Con P&amp;L'!AL43</f>
        <v>-10642.5</v>
      </c>
      <c r="AM12" s="31">
        <f>'Con P&amp;L'!AM43</f>
        <v>-1635542.0999999999</v>
      </c>
      <c r="AN12" s="31">
        <f>'Con P&amp;L'!AN43</f>
        <v>-2076567.68</v>
      </c>
      <c r="AO12" s="31">
        <f>'Con P&amp;L'!AO43</f>
        <v>-986637.53</v>
      </c>
      <c r="AP12" s="31">
        <f>'Con P&amp;L'!AP43</f>
        <v>-14002285.11</v>
      </c>
      <c r="AQ12" s="31">
        <f>SUM(AE12:AP12)</f>
        <v>-34717839.57</v>
      </c>
      <c r="AR12" s="27"/>
      <c r="AS12" s="28"/>
      <c r="AT12" s="29" t="s">
        <v>393</v>
      </c>
      <c r="AU12" s="31">
        <f>'Con P&amp;L'!AT43</f>
        <v>-19160.53</v>
      </c>
      <c r="AV12" s="31">
        <v>0</v>
      </c>
      <c r="AW12" s="31">
        <f>'Con P&amp;L'!AV43</f>
        <v>-1511862.7</v>
      </c>
      <c r="AX12" s="31">
        <f>'Con P&amp;L'!AW43</f>
        <v>-10860.9</v>
      </c>
      <c r="AY12" s="31">
        <f>'Con P&amp;L'!AX43</f>
        <v>-40669.5</v>
      </c>
      <c r="AZ12" s="31">
        <f>'Con P&amp;L'!AY43</f>
        <v>-595593</v>
      </c>
      <c r="BA12" s="31">
        <f>'Con P&amp;L'!AZ43</f>
        <v>-7472</v>
      </c>
      <c r="BB12" s="31">
        <f>'Con P&amp;L'!BA43</f>
        <v>-7872</v>
      </c>
      <c r="BC12" s="31">
        <f>'Con P&amp;L'!BB43</f>
        <v>-52895.66</v>
      </c>
      <c r="BD12" s="31">
        <f>SUM(AU12:BC12)</f>
        <v>-2246386.29</v>
      </c>
      <c r="BE12" s="27"/>
      <c r="BF12" s="329"/>
      <c r="BG12" s="29" t="s">
        <v>393</v>
      </c>
      <c r="BH12" s="274">
        <f>'Con P&amp;L'!BG43</f>
        <v>-13283904.620000001</v>
      </c>
      <c r="BI12" s="274">
        <f>'Con P&amp;L'!BH43</f>
        <v>-16828327.1</v>
      </c>
      <c r="BJ12" s="274">
        <f>'Con P&amp;L'!BI43</f>
        <v>-58388688.370000005</v>
      </c>
      <c r="BK12" s="26"/>
      <c r="BL12" s="31">
        <v>0</v>
      </c>
      <c r="BM12" s="26">
        <f>SUM(BH12:BL12)</f>
        <v>-88500920.09</v>
      </c>
      <c r="BN12" s="27"/>
      <c r="BO12" s="27"/>
    </row>
    <row r="13" spans="1:67" ht="16.5" customHeight="1">
      <c r="A13" s="421"/>
      <c r="B13" s="29">
        <f>SUM(B8:B12)</f>
        <v>-226678483</v>
      </c>
      <c r="C13" s="26">
        <f>SUM(C8:C12)</f>
        <v>-477061703.502</v>
      </c>
      <c r="D13" s="26">
        <f>SUM(D8:D12)</f>
        <v>-82079002.09</v>
      </c>
      <c r="E13" s="26">
        <f>SUM(E8:E12)</f>
        <v>-785819188.5919998</v>
      </c>
      <c r="F13" s="30"/>
      <c r="G13" s="30"/>
      <c r="H13" s="26">
        <f>SUM(H8:H12)</f>
        <v>-418571472.08399975</v>
      </c>
      <c r="I13" s="27"/>
      <c r="J13" s="27"/>
      <c r="K13" s="32"/>
      <c r="L13" s="26">
        <f>SUM(L8:L12)</f>
        <v>47804067.048</v>
      </c>
      <c r="M13" s="26">
        <f>SUM(M8:M12)</f>
        <v>-27043351.4</v>
      </c>
      <c r="N13" s="26">
        <f>SUM(N8:N12)</f>
        <v>-76488262</v>
      </c>
      <c r="O13" s="26">
        <f>SUM(O8:O12)</f>
        <v>-17716273</v>
      </c>
      <c r="P13" s="26">
        <f aca="true" t="shared" si="0" ref="P13:X13">SUM(P8:P12)</f>
        <v>-4832944</v>
      </c>
      <c r="Q13" s="26">
        <f t="shared" si="0"/>
        <v>-5662917</v>
      </c>
      <c r="R13" s="26">
        <f t="shared" si="0"/>
        <v>-205294075</v>
      </c>
      <c r="S13" s="26">
        <f t="shared" si="0"/>
        <v>-502781.74</v>
      </c>
      <c r="T13" s="26">
        <f t="shared" si="0"/>
        <v>-3856635</v>
      </c>
      <c r="U13" s="26">
        <f t="shared" si="0"/>
        <v>517508.05000000005</v>
      </c>
      <c r="V13" s="26">
        <f t="shared" si="0"/>
        <v>-145442126</v>
      </c>
      <c r="W13" s="26">
        <f t="shared" si="0"/>
        <v>-6515031.6</v>
      </c>
      <c r="X13" s="26">
        <f t="shared" si="0"/>
        <v>241311</v>
      </c>
      <c r="Y13" s="26">
        <f>SUM(Y8:Y12)</f>
        <v>-30467822.57</v>
      </c>
      <c r="Z13" s="26">
        <f>SUM(Z8:Z12)</f>
        <v>-1802370.29</v>
      </c>
      <c r="AA13" s="26">
        <f>SUM(AA8:AA12)</f>
        <v>-477061703.502</v>
      </c>
      <c r="AB13" s="27"/>
      <c r="AC13" s="28"/>
      <c r="AD13" s="32"/>
      <c r="AE13" s="26">
        <f aca="true" t="shared" si="1" ref="AE13:AQ13">SUM(AE8:AE12)</f>
        <v>-74166.54999999999</v>
      </c>
      <c r="AF13" s="26">
        <f t="shared" si="1"/>
        <v>-13803.7</v>
      </c>
      <c r="AG13" s="26">
        <f t="shared" si="1"/>
        <v>-6781740.1</v>
      </c>
      <c r="AH13" s="26">
        <f t="shared" si="1"/>
        <v>-5815405.800000001</v>
      </c>
      <c r="AI13" s="26">
        <f t="shared" si="1"/>
        <v>-5198</v>
      </c>
      <c r="AJ13" s="26">
        <f t="shared" si="1"/>
        <v>-5198</v>
      </c>
      <c r="AK13" s="26">
        <f t="shared" si="1"/>
        <v>-10640</v>
      </c>
      <c r="AL13" s="26">
        <f t="shared" si="1"/>
        <v>-10640</v>
      </c>
      <c r="AM13" s="26">
        <f>SUM(AM8:AM12)</f>
        <v>-1135542.0999999999</v>
      </c>
      <c r="AN13" s="26">
        <f t="shared" si="1"/>
        <v>-2076565.68</v>
      </c>
      <c r="AO13" s="26">
        <f t="shared" si="1"/>
        <v>-736637.53</v>
      </c>
      <c r="AP13" s="26">
        <f t="shared" si="1"/>
        <v>-13802285.11</v>
      </c>
      <c r="AQ13" s="26">
        <f t="shared" si="1"/>
        <v>-30467822.57</v>
      </c>
      <c r="AR13" s="27"/>
      <c r="AS13" s="28"/>
      <c r="AT13" s="32"/>
      <c r="AU13" s="26">
        <f aca="true" t="shared" si="2" ref="AU13:BD13">SUM(AU8:AU12)</f>
        <v>-19158.53</v>
      </c>
      <c r="AV13" s="26">
        <f>SUM(AV8:AV12)</f>
        <v>2</v>
      </c>
      <c r="AW13" s="26">
        <f t="shared" si="2"/>
        <v>-1511860.7</v>
      </c>
      <c r="AX13" s="26">
        <f t="shared" si="2"/>
        <v>-10858.9</v>
      </c>
      <c r="AY13" s="26">
        <f t="shared" si="2"/>
        <v>-40667.5</v>
      </c>
      <c r="AZ13" s="26">
        <f t="shared" si="2"/>
        <v>-595591</v>
      </c>
      <c r="BA13" s="26">
        <f t="shared" si="2"/>
        <v>-7470</v>
      </c>
      <c r="BB13" s="26">
        <f t="shared" si="2"/>
        <v>-7870</v>
      </c>
      <c r="BC13" s="26">
        <f t="shared" si="2"/>
        <v>391104.33999999997</v>
      </c>
      <c r="BD13" s="26">
        <f t="shared" si="2"/>
        <v>-1802370.29</v>
      </c>
      <c r="BE13" s="27"/>
      <c r="BF13" s="329"/>
      <c r="BG13" s="32"/>
      <c r="BH13" s="284">
        <f aca="true" t="shared" si="3" ref="BH13:BM13">SUM(BH8:BH12)</f>
        <v>-11783904.620000001</v>
      </c>
      <c r="BI13" s="284">
        <f t="shared" si="3"/>
        <v>-12156409.100000001</v>
      </c>
      <c r="BJ13" s="284">
        <f t="shared" si="3"/>
        <v>-58138688.370000005</v>
      </c>
      <c r="BK13" s="284"/>
      <c r="BL13" s="26">
        <f t="shared" si="3"/>
        <v>0</v>
      </c>
      <c r="BM13" s="33">
        <f t="shared" si="3"/>
        <v>-82079002.09</v>
      </c>
      <c r="BN13" s="27"/>
      <c r="BO13" s="27"/>
    </row>
    <row r="14" spans="1:67" ht="16.5" customHeight="1">
      <c r="A14" s="422" t="s">
        <v>2</v>
      </c>
      <c r="B14" s="35">
        <v>0</v>
      </c>
      <c r="C14" s="26">
        <f>AA14</f>
        <v>0</v>
      </c>
      <c r="D14" s="26">
        <f>BM14</f>
        <v>0</v>
      </c>
      <c r="E14" s="26">
        <f>SUM(B14:D14)</f>
        <v>0</v>
      </c>
      <c r="F14" s="26">
        <f>'Con B&amp;S Journals'!E135</f>
        <v>25042967</v>
      </c>
      <c r="G14" s="26">
        <f>'Con B&amp;S Journals'!F135</f>
        <v>25042967</v>
      </c>
      <c r="H14" s="26">
        <f>E14-F14+G14</f>
        <v>0</v>
      </c>
      <c r="I14" s="170"/>
      <c r="J14" s="27"/>
      <c r="K14" s="25" t="s">
        <v>2</v>
      </c>
      <c r="L14" s="30">
        <v>0</v>
      </c>
      <c r="M14" s="26">
        <v>0</v>
      </c>
      <c r="N14" s="26">
        <v>0</v>
      </c>
      <c r="O14" s="26">
        <v>0</v>
      </c>
      <c r="P14" s="285">
        <v>0</v>
      </c>
      <c r="Q14" s="26">
        <v>0</v>
      </c>
      <c r="R14" s="30">
        <v>0</v>
      </c>
      <c r="S14" s="26">
        <v>0</v>
      </c>
      <c r="T14" s="26">
        <v>0</v>
      </c>
      <c r="U14" s="26">
        <v>0</v>
      </c>
      <c r="V14" s="26">
        <v>0</v>
      </c>
      <c r="W14" s="285">
        <v>0</v>
      </c>
      <c r="X14" s="26">
        <v>0</v>
      </c>
      <c r="Y14" s="26">
        <f>AQ14</f>
        <v>0</v>
      </c>
      <c r="Z14" s="26">
        <f>BD14</f>
        <v>0</v>
      </c>
      <c r="AA14" s="26">
        <f>SUM(L14:Z14)</f>
        <v>0</v>
      </c>
      <c r="AB14" s="27"/>
      <c r="AC14" s="28"/>
      <c r="AD14" s="25" t="s">
        <v>2</v>
      </c>
      <c r="AE14" s="30">
        <v>0</v>
      </c>
      <c r="AF14" s="26">
        <v>0</v>
      </c>
      <c r="AG14" s="26">
        <v>0</v>
      </c>
      <c r="AH14" s="30"/>
      <c r="AI14" s="26">
        <v>0</v>
      </c>
      <c r="AJ14" s="26">
        <v>0</v>
      </c>
      <c r="AK14" s="26">
        <v>0</v>
      </c>
      <c r="AL14" s="26">
        <v>0</v>
      </c>
      <c r="AM14" s="30"/>
      <c r="AN14" s="26">
        <v>0</v>
      </c>
      <c r="AO14" s="26">
        <v>0</v>
      </c>
      <c r="AP14" s="26">
        <f>CG14</f>
        <v>0</v>
      </c>
      <c r="AQ14" s="26">
        <f>SUM(AE14:AP14)</f>
        <v>0</v>
      </c>
      <c r="AR14" s="27"/>
      <c r="AS14" s="28"/>
      <c r="AT14" s="25" t="s">
        <v>2</v>
      </c>
      <c r="AU14" s="30">
        <v>0</v>
      </c>
      <c r="AV14" s="26">
        <v>0</v>
      </c>
      <c r="AW14" s="26">
        <v>0</v>
      </c>
      <c r="AX14" s="30"/>
      <c r="AY14" s="26">
        <v>0</v>
      </c>
      <c r="AZ14" s="26">
        <v>0</v>
      </c>
      <c r="BA14" s="26">
        <v>0</v>
      </c>
      <c r="BB14" s="26">
        <v>0</v>
      </c>
      <c r="BC14" s="26">
        <f>DA14</f>
        <v>0</v>
      </c>
      <c r="BD14" s="26">
        <f>SUM(AU14:BC14)</f>
        <v>0</v>
      </c>
      <c r="BE14" s="27"/>
      <c r="BF14" s="329"/>
      <c r="BG14" s="25" t="s">
        <v>2</v>
      </c>
      <c r="BH14" s="285">
        <v>0</v>
      </c>
      <c r="BI14" s="26"/>
      <c r="BJ14" s="275">
        <v>0</v>
      </c>
      <c r="BK14" s="26"/>
      <c r="BL14" s="26">
        <v>0</v>
      </c>
      <c r="BM14" s="26">
        <f>SUM(BH14:BL14)</f>
        <v>0</v>
      </c>
      <c r="BN14" s="27"/>
      <c r="BO14" s="27"/>
    </row>
    <row r="15" spans="1:67" ht="16.5" customHeight="1">
      <c r="A15" s="422" t="s">
        <v>3</v>
      </c>
      <c r="B15" s="35"/>
      <c r="C15" s="26"/>
      <c r="D15" s="26"/>
      <c r="E15" s="26"/>
      <c r="F15" s="26"/>
      <c r="G15" s="26"/>
      <c r="H15" s="26"/>
      <c r="I15" s="27"/>
      <c r="J15" s="27"/>
      <c r="K15" s="25" t="s">
        <v>3</v>
      </c>
      <c r="L15" s="30"/>
      <c r="M15" s="26"/>
      <c r="N15" s="26"/>
      <c r="O15" s="26"/>
      <c r="P15" s="286"/>
      <c r="Q15" s="26"/>
      <c r="R15" s="30"/>
      <c r="S15" s="26"/>
      <c r="T15" s="26"/>
      <c r="U15" s="26"/>
      <c r="V15" s="26"/>
      <c r="W15" s="286"/>
      <c r="X15" s="26"/>
      <c r="Y15" s="26"/>
      <c r="Z15" s="26"/>
      <c r="AA15" s="26"/>
      <c r="AB15" s="27"/>
      <c r="AC15" s="28"/>
      <c r="AD15" s="25" t="s">
        <v>3</v>
      </c>
      <c r="AE15" s="30"/>
      <c r="AF15" s="26"/>
      <c r="AG15" s="26"/>
      <c r="AH15" s="30"/>
      <c r="AI15" s="26"/>
      <c r="AJ15" s="26"/>
      <c r="AK15" s="26"/>
      <c r="AL15" s="26"/>
      <c r="AM15" s="30"/>
      <c r="AN15" s="26"/>
      <c r="AO15" s="26"/>
      <c r="AP15" s="26"/>
      <c r="AQ15" s="26"/>
      <c r="AR15" s="27"/>
      <c r="AS15" s="28"/>
      <c r="AT15" s="25" t="s">
        <v>3</v>
      </c>
      <c r="AU15" s="30"/>
      <c r="AV15" s="26"/>
      <c r="AW15" s="26"/>
      <c r="AX15" s="30"/>
      <c r="AY15" s="26"/>
      <c r="AZ15" s="26"/>
      <c r="BA15" s="26"/>
      <c r="BB15" s="26"/>
      <c r="BC15" s="26"/>
      <c r="BD15" s="26"/>
      <c r="BE15" s="27"/>
      <c r="BF15" s="329"/>
      <c r="BG15" s="25" t="s">
        <v>3</v>
      </c>
      <c r="BH15" s="286"/>
      <c r="BI15" s="26"/>
      <c r="BJ15" s="276"/>
      <c r="BK15" s="26"/>
      <c r="BL15" s="26"/>
      <c r="BM15" s="26"/>
      <c r="BN15" s="27"/>
      <c r="BO15" s="27"/>
    </row>
    <row r="16" spans="1:67" ht="16.5" customHeight="1">
      <c r="A16" s="367" t="s">
        <v>154</v>
      </c>
      <c r="B16" s="35">
        <v>0</v>
      </c>
      <c r="C16" s="26">
        <f>AA16</f>
        <v>0</v>
      </c>
      <c r="D16" s="26">
        <f>BM16</f>
        <v>0</v>
      </c>
      <c r="E16" s="26">
        <f>SUM(B16:D16)</f>
        <v>0</v>
      </c>
      <c r="F16" s="26"/>
      <c r="G16" s="26"/>
      <c r="H16" s="26">
        <f>E16-F16+G16</f>
        <v>0</v>
      </c>
      <c r="I16" s="27"/>
      <c r="J16" s="27"/>
      <c r="K16" s="25"/>
      <c r="L16" s="30">
        <v>0</v>
      </c>
      <c r="M16" s="26">
        <v>0</v>
      </c>
      <c r="N16" s="26"/>
      <c r="O16" s="26"/>
      <c r="P16" s="286"/>
      <c r="Q16" s="26"/>
      <c r="R16" s="30">
        <v>0</v>
      </c>
      <c r="S16" s="26">
        <v>0</v>
      </c>
      <c r="T16" s="26">
        <v>0</v>
      </c>
      <c r="U16" s="26">
        <v>0</v>
      </c>
      <c r="V16" s="26">
        <v>0</v>
      </c>
      <c r="W16" s="286">
        <v>0</v>
      </c>
      <c r="X16" s="26"/>
      <c r="Y16" s="26"/>
      <c r="Z16" s="26"/>
      <c r="AA16" s="26">
        <f>SUM(L16:Z16)</f>
        <v>0</v>
      </c>
      <c r="AB16" s="27"/>
      <c r="AC16" s="28"/>
      <c r="AD16" s="25"/>
      <c r="AE16" s="30"/>
      <c r="AF16" s="26"/>
      <c r="AG16" s="26"/>
      <c r="AH16" s="30"/>
      <c r="AI16" s="26"/>
      <c r="AJ16" s="26"/>
      <c r="AK16" s="26"/>
      <c r="AL16" s="26"/>
      <c r="AM16" s="30"/>
      <c r="AN16" s="26"/>
      <c r="AO16" s="26"/>
      <c r="AP16" s="26"/>
      <c r="AQ16" s="26"/>
      <c r="AR16" s="27"/>
      <c r="AS16" s="28"/>
      <c r="AT16" s="25"/>
      <c r="AU16" s="30"/>
      <c r="AV16" s="26">
        <v>0</v>
      </c>
      <c r="AW16" s="26"/>
      <c r="AX16" s="30"/>
      <c r="AY16" s="26"/>
      <c r="AZ16" s="26"/>
      <c r="BA16" s="26"/>
      <c r="BB16" s="26"/>
      <c r="BC16" s="26"/>
      <c r="BD16" s="26"/>
      <c r="BE16" s="27"/>
      <c r="BF16" s="329"/>
      <c r="BG16" s="297" t="s">
        <v>154</v>
      </c>
      <c r="BH16" s="286">
        <v>0</v>
      </c>
      <c r="BI16" s="26">
        <f>181015-181015</f>
        <v>0</v>
      </c>
      <c r="BJ16" s="276">
        <v>0</v>
      </c>
      <c r="BK16" s="26"/>
      <c r="BL16" s="26"/>
      <c r="BM16" s="26">
        <f>SUM(BH16:BL16)</f>
        <v>0</v>
      </c>
      <c r="BN16" s="27"/>
      <c r="BO16" s="27"/>
    </row>
    <row r="17" spans="1:67" ht="16.5" customHeight="1">
      <c r="A17" s="376" t="s">
        <v>407</v>
      </c>
      <c r="B17" s="29">
        <v>0</v>
      </c>
      <c r="C17" s="26">
        <f>AA17</f>
        <v>3424712</v>
      </c>
      <c r="D17" s="26">
        <f>BM17</f>
        <v>0</v>
      </c>
      <c r="E17" s="26">
        <f>SUM(B17:D17)</f>
        <v>3424712</v>
      </c>
      <c r="F17" s="26">
        <f>'Con B&amp;S Journals'!E152</f>
        <v>10042138</v>
      </c>
      <c r="G17" s="26">
        <f>'Con B&amp;S Journals'!F152</f>
        <v>18479151</v>
      </c>
      <c r="H17" s="26">
        <f>E17-F17+G17</f>
        <v>11861725</v>
      </c>
      <c r="I17" s="28"/>
      <c r="J17" s="27"/>
      <c r="K17" s="29" t="s">
        <v>407</v>
      </c>
      <c r="L17" s="26">
        <v>2077002</v>
      </c>
      <c r="M17" s="26">
        <v>0</v>
      </c>
      <c r="N17" s="26">
        <v>1347710</v>
      </c>
      <c r="O17" s="26">
        <v>0</v>
      </c>
      <c r="P17" s="281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81">
        <v>0</v>
      </c>
      <c r="X17" s="26">
        <v>0</v>
      </c>
      <c r="Y17" s="26">
        <f>AQ17</f>
        <v>0</v>
      </c>
      <c r="Z17" s="26">
        <f>BD17</f>
        <v>0</v>
      </c>
      <c r="AA17" s="26">
        <f>SUM(L17:Z17)</f>
        <v>3424712</v>
      </c>
      <c r="AB17" s="27"/>
      <c r="AC17" s="28"/>
      <c r="AD17" s="29" t="s">
        <v>407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f>SUM(AE17:AP17)</f>
        <v>0</v>
      </c>
      <c r="AR17" s="27"/>
      <c r="AS17" s="28"/>
      <c r="AT17" s="29" t="s">
        <v>407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f>SUM(AU17:BC17)</f>
        <v>0</v>
      </c>
      <c r="BE17" s="27"/>
      <c r="BF17" s="329"/>
      <c r="BG17" s="29" t="s">
        <v>407</v>
      </c>
      <c r="BH17" s="285">
        <v>0</v>
      </c>
      <c r="BI17" s="26"/>
      <c r="BJ17" s="275">
        <v>0</v>
      </c>
      <c r="BK17" s="26"/>
      <c r="BL17" s="26">
        <v>0</v>
      </c>
      <c r="BM17" s="26">
        <f>SUM(BH17:BL17)</f>
        <v>0</v>
      </c>
      <c r="BN17" s="27"/>
      <c r="BO17" s="27"/>
    </row>
    <row r="18" spans="1:67" ht="16.5" customHeight="1">
      <c r="A18" s="376" t="s">
        <v>408</v>
      </c>
      <c r="B18" s="29">
        <v>0</v>
      </c>
      <c r="C18" s="26">
        <f>AA18</f>
        <v>0</v>
      </c>
      <c r="D18" s="26">
        <f>BM18</f>
        <v>6206138.22</v>
      </c>
      <c r="E18" s="26">
        <f>SUM(B18:D18)</f>
        <v>6206138.22</v>
      </c>
      <c r="F18" s="26"/>
      <c r="G18" s="26"/>
      <c r="H18" s="26">
        <f>E18-F18+G18</f>
        <v>6206138.22</v>
      </c>
      <c r="I18" s="28"/>
      <c r="J18" s="27"/>
      <c r="K18" s="29" t="s">
        <v>408</v>
      </c>
      <c r="L18" s="26">
        <v>0</v>
      </c>
      <c r="M18" s="26">
        <v>0</v>
      </c>
      <c r="N18" s="26">
        <v>0</v>
      </c>
      <c r="O18" s="26">
        <v>0</v>
      </c>
      <c r="P18" s="281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81">
        <v>0</v>
      </c>
      <c r="X18" s="26">
        <v>0</v>
      </c>
      <c r="Y18" s="26">
        <f>AQ18</f>
        <v>0</v>
      </c>
      <c r="Z18" s="26">
        <f>BD18</f>
        <v>0</v>
      </c>
      <c r="AA18" s="26">
        <f>SUM(L18:Z18)</f>
        <v>0</v>
      </c>
      <c r="AB18" s="27"/>
      <c r="AC18" s="28"/>
      <c r="AD18" s="29" t="s">
        <v>408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f>SUM(AE18:AP18)</f>
        <v>0</v>
      </c>
      <c r="AR18" s="27"/>
      <c r="AS18" s="28"/>
      <c r="AT18" s="29" t="s">
        <v>408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f>SUM(AU18:BC18)</f>
        <v>0</v>
      </c>
      <c r="BE18" s="27"/>
      <c r="BF18" s="329"/>
      <c r="BG18" s="29" t="s">
        <v>408</v>
      </c>
      <c r="BH18" s="285">
        <v>1532670</v>
      </c>
      <c r="BI18" s="26"/>
      <c r="BJ18" s="273">
        <v>4673468.22</v>
      </c>
      <c r="BK18" s="26"/>
      <c r="BL18" s="26">
        <v>0</v>
      </c>
      <c r="BM18" s="26">
        <f>SUM(BH18:BL18)</f>
        <v>6206138.22</v>
      </c>
      <c r="BN18" s="27"/>
      <c r="BO18" s="27"/>
    </row>
    <row r="19" spans="1:67" ht="16.5" customHeight="1">
      <c r="A19" s="376"/>
      <c r="B19" s="34"/>
      <c r="C19" s="31"/>
      <c r="D19" s="31"/>
      <c r="E19" s="31"/>
      <c r="F19" s="26"/>
      <c r="G19" s="26"/>
      <c r="H19" s="34"/>
      <c r="I19" s="28"/>
      <c r="J19" s="27"/>
      <c r="K19" s="29"/>
      <c r="L19" s="34"/>
      <c r="M19" s="31"/>
      <c r="N19" s="31"/>
      <c r="O19" s="31"/>
      <c r="P19" s="281"/>
      <c r="Q19" s="31"/>
      <c r="R19" s="34"/>
      <c r="S19" s="31"/>
      <c r="T19" s="31"/>
      <c r="U19" s="31"/>
      <c r="V19" s="31"/>
      <c r="W19" s="274"/>
      <c r="X19" s="31"/>
      <c r="Y19" s="31"/>
      <c r="Z19" s="31"/>
      <c r="AA19" s="31"/>
      <c r="AB19" s="27"/>
      <c r="AC19" s="28"/>
      <c r="AD19" s="29"/>
      <c r="AE19" s="34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27"/>
      <c r="AS19" s="28"/>
      <c r="AT19" s="29"/>
      <c r="AU19" s="34"/>
      <c r="AV19" s="31"/>
      <c r="AW19" s="31"/>
      <c r="AX19" s="31"/>
      <c r="AY19" s="31"/>
      <c r="AZ19" s="31"/>
      <c r="BA19" s="31"/>
      <c r="BB19" s="31"/>
      <c r="BC19" s="31"/>
      <c r="BD19" s="31"/>
      <c r="BE19" s="27"/>
      <c r="BF19" s="329"/>
      <c r="BG19" s="29"/>
      <c r="BH19" s="298"/>
      <c r="BI19" s="31"/>
      <c r="BJ19" s="273"/>
      <c r="BK19" s="31"/>
      <c r="BL19" s="31"/>
      <c r="BM19" s="31"/>
      <c r="BN19" s="27"/>
      <c r="BO19" s="27"/>
    </row>
    <row r="20" spans="1:67" ht="16.5" customHeight="1" thickBot="1">
      <c r="A20" s="423"/>
      <c r="B20" s="36">
        <f>SUM(B13:B19)</f>
        <v>-226678483</v>
      </c>
      <c r="C20" s="36">
        <f>SUM(C13:C19)</f>
        <v>-473636991.502</v>
      </c>
      <c r="D20" s="36">
        <f>SUM(D13:D19)</f>
        <v>-75872863.87</v>
      </c>
      <c r="E20" s="36">
        <f>SUM(E13:E19)</f>
        <v>-776188338.3719997</v>
      </c>
      <c r="F20" s="30"/>
      <c r="G20" s="30"/>
      <c r="H20" s="36">
        <f>SUM(H13:H19)</f>
        <v>-400503608.8639997</v>
      </c>
      <c r="I20" s="27"/>
      <c r="J20" s="27"/>
      <c r="K20" s="35"/>
      <c r="L20" s="36">
        <f>SUM(L13:L19)</f>
        <v>49881069.048</v>
      </c>
      <c r="M20" s="36">
        <f>SUM(M13:M19)</f>
        <v>-27043351.4</v>
      </c>
      <c r="N20" s="36">
        <f>SUM(N13:N19)</f>
        <v>-75140552</v>
      </c>
      <c r="O20" s="36">
        <f>SUM(O13:O19)</f>
        <v>-17716273</v>
      </c>
      <c r="P20" s="36">
        <f aca="true" t="shared" si="4" ref="P20:X20">SUM(P13:P19)</f>
        <v>-4832944</v>
      </c>
      <c r="Q20" s="36">
        <f t="shared" si="4"/>
        <v>-5662917</v>
      </c>
      <c r="R20" s="36">
        <f t="shared" si="4"/>
        <v>-205294075</v>
      </c>
      <c r="S20" s="36">
        <f t="shared" si="4"/>
        <v>-502781.74</v>
      </c>
      <c r="T20" s="36">
        <f t="shared" si="4"/>
        <v>-3856635</v>
      </c>
      <c r="U20" s="36">
        <f t="shared" si="4"/>
        <v>517508.05000000005</v>
      </c>
      <c r="V20" s="36">
        <f t="shared" si="4"/>
        <v>-145442126</v>
      </c>
      <c r="W20" s="36">
        <f t="shared" si="4"/>
        <v>-6515031.6</v>
      </c>
      <c r="X20" s="36">
        <f t="shared" si="4"/>
        <v>241311</v>
      </c>
      <c r="Y20" s="36">
        <f>SUM(Y13:Y19)</f>
        <v>-30467822.57</v>
      </c>
      <c r="Z20" s="36">
        <f>SUM(Z13:Z19)</f>
        <v>-1802370.29</v>
      </c>
      <c r="AA20" s="36">
        <f>SUM(AA13:AA19)</f>
        <v>-473636991.502</v>
      </c>
      <c r="AB20" s="27"/>
      <c r="AC20" s="28"/>
      <c r="AD20" s="35"/>
      <c r="AE20" s="36">
        <f aca="true" t="shared" si="5" ref="AE20:AQ20">SUM(AE13:AE19)</f>
        <v>-74166.54999999999</v>
      </c>
      <c r="AF20" s="36">
        <f t="shared" si="5"/>
        <v>-13803.7</v>
      </c>
      <c r="AG20" s="36">
        <f t="shared" si="5"/>
        <v>-6781740.1</v>
      </c>
      <c r="AH20" s="36">
        <f t="shared" si="5"/>
        <v>-5815405.800000001</v>
      </c>
      <c r="AI20" s="36">
        <f t="shared" si="5"/>
        <v>-5198</v>
      </c>
      <c r="AJ20" s="36">
        <f t="shared" si="5"/>
        <v>-5198</v>
      </c>
      <c r="AK20" s="36">
        <f t="shared" si="5"/>
        <v>-10640</v>
      </c>
      <c r="AL20" s="36">
        <f t="shared" si="5"/>
        <v>-10640</v>
      </c>
      <c r="AM20" s="36">
        <f>SUM(AM13:AM19)</f>
        <v>-1135542.0999999999</v>
      </c>
      <c r="AN20" s="36">
        <f t="shared" si="5"/>
        <v>-2076565.68</v>
      </c>
      <c r="AO20" s="36">
        <f t="shared" si="5"/>
        <v>-736637.53</v>
      </c>
      <c r="AP20" s="36">
        <f t="shared" si="5"/>
        <v>-13802285.11</v>
      </c>
      <c r="AQ20" s="36">
        <f t="shared" si="5"/>
        <v>-30467822.57</v>
      </c>
      <c r="AR20" s="27"/>
      <c r="AS20" s="28"/>
      <c r="AT20" s="35"/>
      <c r="AU20" s="36">
        <f aca="true" t="shared" si="6" ref="AU20:BD20">SUM(AU13:AU19)</f>
        <v>-19158.53</v>
      </c>
      <c r="AV20" s="36">
        <f>SUM(AV13:AV19)</f>
        <v>2</v>
      </c>
      <c r="AW20" s="36">
        <f t="shared" si="6"/>
        <v>-1511860.7</v>
      </c>
      <c r="AX20" s="36">
        <f t="shared" si="6"/>
        <v>-10858.9</v>
      </c>
      <c r="AY20" s="36">
        <f t="shared" si="6"/>
        <v>-40667.5</v>
      </c>
      <c r="AZ20" s="36">
        <f t="shared" si="6"/>
        <v>-595591</v>
      </c>
      <c r="BA20" s="36">
        <f t="shared" si="6"/>
        <v>-7470</v>
      </c>
      <c r="BB20" s="36">
        <f t="shared" si="6"/>
        <v>-7870</v>
      </c>
      <c r="BC20" s="36">
        <f t="shared" si="6"/>
        <v>391104.33999999997</v>
      </c>
      <c r="BD20" s="36">
        <f t="shared" si="6"/>
        <v>-1802370.29</v>
      </c>
      <c r="BE20" s="27"/>
      <c r="BF20" s="329"/>
      <c r="BG20" s="35"/>
      <c r="BH20" s="36">
        <f aca="true" t="shared" si="7" ref="BH20:BM20">SUM(BH13:BH19)</f>
        <v>-10251234.620000001</v>
      </c>
      <c r="BI20" s="36">
        <f>SUM(BI13:BI19)</f>
        <v>-12156409.100000001</v>
      </c>
      <c r="BJ20" s="36">
        <f>SUM(BJ13:BJ19)</f>
        <v>-53465220.150000006</v>
      </c>
      <c r="BK20" s="36"/>
      <c r="BL20" s="36">
        <f t="shared" si="7"/>
        <v>0</v>
      </c>
      <c r="BM20" s="36">
        <f t="shared" si="7"/>
        <v>-75872863.87</v>
      </c>
      <c r="BN20" s="27"/>
      <c r="BO20" s="27"/>
    </row>
    <row r="21" spans="1:67" ht="16.5" customHeight="1" thickTop="1">
      <c r="A21" s="423" t="s">
        <v>4</v>
      </c>
      <c r="B21" s="29"/>
      <c r="C21" s="26"/>
      <c r="D21" s="26"/>
      <c r="E21" s="26"/>
      <c r="F21" s="30"/>
      <c r="G21" s="30"/>
      <c r="H21" s="26"/>
      <c r="I21" s="27"/>
      <c r="J21" s="27"/>
      <c r="K21" s="35" t="s">
        <v>4</v>
      </c>
      <c r="L21" s="26"/>
      <c r="M21" s="26"/>
      <c r="N21" s="26"/>
      <c r="O21" s="26"/>
      <c r="P21" s="287"/>
      <c r="Q21" s="26"/>
      <c r="R21" s="26"/>
      <c r="S21" s="26"/>
      <c r="T21" s="26"/>
      <c r="U21" s="26"/>
      <c r="V21" s="26"/>
      <c r="W21" s="287"/>
      <c r="X21" s="26"/>
      <c r="Y21" s="26"/>
      <c r="Z21" s="26"/>
      <c r="AA21" s="26"/>
      <c r="AB21" s="27"/>
      <c r="AC21" s="28"/>
      <c r="AD21" s="35" t="s">
        <v>4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8"/>
      <c r="AT21" s="35" t="s">
        <v>4</v>
      </c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329"/>
      <c r="BG21" s="35" t="s">
        <v>4</v>
      </c>
      <c r="BH21" s="287"/>
      <c r="BI21" s="26"/>
      <c r="BJ21" s="277"/>
      <c r="BK21" s="26"/>
      <c r="BL21" s="26"/>
      <c r="BM21" s="26"/>
      <c r="BN21" s="27"/>
      <c r="BO21" s="27"/>
    </row>
    <row r="22" spans="1:67" ht="16.5" customHeight="1">
      <c r="A22" s="422" t="s">
        <v>5</v>
      </c>
      <c r="B22" s="29">
        <v>390700</v>
      </c>
      <c r="C22" s="26">
        <f aca="true" t="shared" si="8" ref="C22:C28">AA22</f>
        <v>6014647.48</v>
      </c>
      <c r="D22" s="26">
        <f aca="true" t="shared" si="9" ref="D22:D28">BM22</f>
        <v>2664101</v>
      </c>
      <c r="E22" s="26">
        <f aca="true" t="shared" si="10" ref="E22:E28">SUM(B22:D22)</f>
        <v>9069448.48</v>
      </c>
      <c r="F22" s="26">
        <f>'Con B&amp;S Journals'!E164</f>
        <v>0</v>
      </c>
      <c r="G22" s="26">
        <f>'Con B&amp;S Journals'!F164</f>
        <v>0</v>
      </c>
      <c r="H22" s="26">
        <f aca="true" t="shared" si="11" ref="H22:H28">E22+F22-G22</f>
        <v>9069448.48</v>
      </c>
      <c r="I22" s="27"/>
      <c r="J22" s="27"/>
      <c r="K22" s="25" t="s">
        <v>5</v>
      </c>
      <c r="L22" s="26">
        <v>39122</v>
      </c>
      <c r="M22" s="26">
        <v>101199</v>
      </c>
      <c r="N22" s="26">
        <v>361926</v>
      </c>
      <c r="O22" s="26">
        <v>218503</v>
      </c>
      <c r="P22" s="281">
        <v>945</v>
      </c>
      <c r="Q22" s="26">
        <v>4623</v>
      </c>
      <c r="R22" s="26">
        <v>184724</v>
      </c>
      <c r="S22" s="26">
        <v>1000000</v>
      </c>
      <c r="T22" s="26">
        <v>0</v>
      </c>
      <c r="U22" s="26">
        <v>154325.98</v>
      </c>
      <c r="V22" s="26">
        <v>3249965</v>
      </c>
      <c r="W22" s="281">
        <v>1</v>
      </c>
      <c r="X22" s="26">
        <v>0</v>
      </c>
      <c r="Y22" s="26">
        <f aca="true" t="shared" si="12" ref="Y22:Y28">AQ22</f>
        <v>5424.5</v>
      </c>
      <c r="Z22" s="26">
        <f aca="true" t="shared" si="13" ref="Z22:Z28">BD22</f>
        <v>693889</v>
      </c>
      <c r="AA22" s="26">
        <f aca="true" t="shared" si="14" ref="AA22:AA28">SUM(L22:Z22)</f>
        <v>6014647.48</v>
      </c>
      <c r="AB22" s="27"/>
      <c r="AC22" s="28"/>
      <c r="AD22" s="25" t="s">
        <v>5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5424.5</v>
      </c>
      <c r="AN22" s="26">
        <v>0</v>
      </c>
      <c r="AO22" s="26">
        <v>0</v>
      </c>
      <c r="AP22" s="26">
        <v>0</v>
      </c>
      <c r="AQ22" s="26">
        <f aca="true" t="shared" si="15" ref="AQ22:AQ28">SUM(AE22:AP22)</f>
        <v>5424.5</v>
      </c>
      <c r="AR22" s="27"/>
      <c r="AS22" s="28"/>
      <c r="AT22" s="25" t="s">
        <v>5</v>
      </c>
      <c r="AU22" s="26">
        <v>689888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4001</v>
      </c>
      <c r="BD22" s="26">
        <f aca="true" t="shared" si="16" ref="BD22:BD28">SUM(AU22:BC22)</f>
        <v>693889</v>
      </c>
      <c r="BE22" s="27"/>
      <c r="BF22" s="329"/>
      <c r="BG22" s="25" t="s">
        <v>5</v>
      </c>
      <c r="BH22" s="281">
        <v>1</v>
      </c>
      <c r="BI22" s="26">
        <v>2664100</v>
      </c>
      <c r="BJ22" s="273">
        <v>0</v>
      </c>
      <c r="BK22" s="26"/>
      <c r="BL22" s="26">
        <v>0</v>
      </c>
      <c r="BM22" s="26">
        <f aca="true" t="shared" si="17" ref="BM22:BM28">SUM(BH22:BL22)</f>
        <v>2664101</v>
      </c>
      <c r="BN22" s="27"/>
      <c r="BO22" s="27"/>
    </row>
    <row r="23" spans="1:67" ht="16.5" customHeight="1">
      <c r="A23" s="422" t="s">
        <v>383</v>
      </c>
      <c r="B23" s="29"/>
      <c r="C23" s="26">
        <f t="shared" si="8"/>
        <v>7907486</v>
      </c>
      <c r="D23" s="26">
        <f t="shared" si="9"/>
        <v>0</v>
      </c>
      <c r="E23" s="26">
        <f t="shared" si="10"/>
        <v>7907486</v>
      </c>
      <c r="F23" s="26"/>
      <c r="G23" s="26"/>
      <c r="H23" s="26">
        <f t="shared" si="11"/>
        <v>7907486</v>
      </c>
      <c r="I23" s="27"/>
      <c r="J23" s="27"/>
      <c r="K23" s="25" t="s">
        <v>383</v>
      </c>
      <c r="L23" s="26"/>
      <c r="M23" s="26"/>
      <c r="N23" s="26">
        <v>7907486</v>
      </c>
      <c r="O23" s="26">
        <v>0</v>
      </c>
      <c r="P23" s="281"/>
      <c r="Q23" s="26">
        <v>0</v>
      </c>
      <c r="R23" s="26"/>
      <c r="S23" s="26"/>
      <c r="T23" s="26"/>
      <c r="U23" s="26"/>
      <c r="V23" s="26"/>
      <c r="W23" s="281"/>
      <c r="X23" s="26">
        <v>0</v>
      </c>
      <c r="Y23" s="26">
        <f t="shared" si="12"/>
        <v>0</v>
      </c>
      <c r="Z23" s="26">
        <f t="shared" si="13"/>
        <v>0</v>
      </c>
      <c r="AA23" s="26">
        <f t="shared" si="14"/>
        <v>7907486</v>
      </c>
      <c r="AB23" s="27"/>
      <c r="AC23" s="28"/>
      <c r="AD23" s="25" t="s">
        <v>383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f t="shared" si="15"/>
        <v>0</v>
      </c>
      <c r="AR23" s="27"/>
      <c r="AS23" s="28"/>
      <c r="AT23" s="25" t="s">
        <v>383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f t="shared" si="16"/>
        <v>0</v>
      </c>
      <c r="BE23" s="27"/>
      <c r="BF23" s="329"/>
      <c r="BG23" s="25" t="s">
        <v>383</v>
      </c>
      <c r="BH23" s="281"/>
      <c r="BI23" s="26">
        <v>0</v>
      </c>
      <c r="BJ23" s="273"/>
      <c r="BK23" s="26"/>
      <c r="BL23" s="26">
        <v>0</v>
      </c>
      <c r="BM23" s="26">
        <f t="shared" si="17"/>
        <v>0</v>
      </c>
      <c r="BN23" s="27"/>
      <c r="BO23" s="27"/>
    </row>
    <row r="24" spans="1:67" ht="16.5" customHeight="1">
      <c r="A24" s="422" t="s">
        <v>6</v>
      </c>
      <c r="B24" s="29">
        <v>46339761</v>
      </c>
      <c r="C24" s="26">
        <f t="shared" si="8"/>
        <v>2312001</v>
      </c>
      <c r="D24" s="26">
        <f t="shared" si="9"/>
        <v>0</v>
      </c>
      <c r="E24" s="26">
        <f t="shared" si="10"/>
        <v>48651762</v>
      </c>
      <c r="F24" s="26">
        <f>'Con B&amp;S Journals'!E248</f>
        <v>118142467</v>
      </c>
      <c r="G24" s="26">
        <f>'Con B&amp;S Journals'!F248</f>
        <v>166794229</v>
      </c>
      <c r="H24" s="26">
        <f t="shared" si="11"/>
        <v>0</v>
      </c>
      <c r="I24" s="640" t="str">
        <f>IF(H24=0,"Subsi OK","WRONG")</f>
        <v>Subsi OK</v>
      </c>
      <c r="J24" s="27"/>
      <c r="K24" s="25" t="s">
        <v>6</v>
      </c>
      <c r="L24" s="26">
        <v>0</v>
      </c>
      <c r="M24" s="26">
        <v>0</v>
      </c>
      <c r="N24" s="26">
        <v>0</v>
      </c>
      <c r="O24" s="26">
        <v>0</v>
      </c>
      <c r="P24" s="281">
        <v>0</v>
      </c>
      <c r="Q24" s="26">
        <v>0</v>
      </c>
      <c r="R24" s="26">
        <v>1</v>
      </c>
      <c r="S24" s="26">
        <v>0</v>
      </c>
      <c r="T24" s="26">
        <v>0</v>
      </c>
      <c r="U24" s="26">
        <v>0</v>
      </c>
      <c r="V24" s="26">
        <f>37233+391769</f>
        <v>429002</v>
      </c>
      <c r="W24" s="281">
        <v>0</v>
      </c>
      <c r="X24" s="26">
        <v>0</v>
      </c>
      <c r="Y24" s="26">
        <f t="shared" si="12"/>
        <v>1882997</v>
      </c>
      <c r="Z24" s="26">
        <f t="shared" si="13"/>
        <v>1</v>
      </c>
      <c r="AA24" s="26">
        <f t="shared" si="14"/>
        <v>2312001</v>
      </c>
      <c r="AB24" s="27"/>
      <c r="AC24" s="28"/>
      <c r="AD24" s="25" t="s">
        <v>6</v>
      </c>
      <c r="AE24" s="26">
        <v>0</v>
      </c>
      <c r="AF24" s="26">
        <v>0</v>
      </c>
      <c r="AG24" s="26">
        <v>100009</v>
      </c>
      <c r="AH24" s="26">
        <v>1782987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1</v>
      </c>
      <c r="AQ24" s="26">
        <f t="shared" si="15"/>
        <v>1882997</v>
      </c>
      <c r="AR24" s="27"/>
      <c r="AS24" s="28"/>
      <c r="AT24" s="25" t="s">
        <v>6</v>
      </c>
      <c r="AU24" s="26">
        <v>0</v>
      </c>
      <c r="AV24" s="26">
        <v>0</v>
      </c>
      <c r="AW24" s="26">
        <v>1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f t="shared" si="16"/>
        <v>1</v>
      </c>
      <c r="BE24" s="27"/>
      <c r="BF24" s="329"/>
      <c r="BG24" s="25" t="s">
        <v>6</v>
      </c>
      <c r="BH24" s="281">
        <v>0</v>
      </c>
      <c r="BI24" s="26">
        <v>0</v>
      </c>
      <c r="BJ24" s="273">
        <v>0</v>
      </c>
      <c r="BK24" s="26"/>
      <c r="BL24" s="26">
        <v>0</v>
      </c>
      <c r="BM24" s="26">
        <f t="shared" si="17"/>
        <v>0</v>
      </c>
      <c r="BN24" s="27"/>
      <c r="BO24" s="27"/>
    </row>
    <row r="25" spans="1:67" ht="16.5" customHeight="1">
      <c r="A25" s="422" t="s">
        <v>7</v>
      </c>
      <c r="B25" s="29">
        <v>15492222</v>
      </c>
      <c r="C25" s="26">
        <f t="shared" si="8"/>
        <v>860000</v>
      </c>
      <c r="D25" s="26">
        <f t="shared" si="9"/>
        <v>0</v>
      </c>
      <c r="E25" s="26">
        <f t="shared" si="10"/>
        <v>16352222</v>
      </c>
      <c r="F25" s="26">
        <f>'Con B&amp;S Journals'!E266</f>
        <v>46206201.678</v>
      </c>
      <c r="G25" s="26">
        <f>'Con B&amp;S Journals'!F266</f>
        <v>43513802</v>
      </c>
      <c r="H25" s="26">
        <f t="shared" si="11"/>
        <v>19044621.678000003</v>
      </c>
      <c r="I25" s="27"/>
      <c r="J25" s="27"/>
      <c r="K25" s="25" t="s">
        <v>7</v>
      </c>
      <c r="L25" s="26">
        <v>0</v>
      </c>
      <c r="M25" s="26">
        <v>0</v>
      </c>
      <c r="N25" s="26">
        <v>0</v>
      </c>
      <c r="O25" s="26">
        <v>0</v>
      </c>
      <c r="P25" s="281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860000</v>
      </c>
      <c r="W25" s="281">
        <v>0</v>
      </c>
      <c r="X25" s="26">
        <v>0</v>
      </c>
      <c r="Y25" s="26">
        <f t="shared" si="12"/>
        <v>0</v>
      </c>
      <c r="Z25" s="26">
        <f t="shared" si="13"/>
        <v>0</v>
      </c>
      <c r="AA25" s="26">
        <f t="shared" si="14"/>
        <v>860000</v>
      </c>
      <c r="AB25" s="27"/>
      <c r="AC25" s="28"/>
      <c r="AD25" s="25" t="s">
        <v>7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f t="shared" si="15"/>
        <v>0</v>
      </c>
      <c r="AR25" s="27"/>
      <c r="AS25" s="28"/>
      <c r="AT25" s="25" t="s">
        <v>7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f t="shared" si="16"/>
        <v>0</v>
      </c>
      <c r="BE25" s="27"/>
      <c r="BF25" s="329"/>
      <c r="BG25" s="25" t="s">
        <v>7</v>
      </c>
      <c r="BH25" s="281">
        <v>0</v>
      </c>
      <c r="BI25" s="26">
        <v>0</v>
      </c>
      <c r="BJ25" s="273">
        <v>0</v>
      </c>
      <c r="BK25" s="26"/>
      <c r="BL25" s="26">
        <v>0</v>
      </c>
      <c r="BM25" s="26">
        <f t="shared" si="17"/>
        <v>0</v>
      </c>
      <c r="BN25" s="27"/>
      <c r="BO25" s="27"/>
    </row>
    <row r="26" spans="1:67" ht="16.5" customHeight="1">
      <c r="A26" s="422" t="s">
        <v>1423</v>
      </c>
      <c r="B26" s="29">
        <v>18017581</v>
      </c>
      <c r="C26" s="26">
        <f t="shared" si="8"/>
        <v>181716604</v>
      </c>
      <c r="D26" s="26">
        <f t="shared" si="9"/>
        <v>8561</v>
      </c>
      <c r="E26" s="26">
        <f t="shared" si="10"/>
        <v>199742746</v>
      </c>
      <c r="F26" s="26">
        <f>'Con B&amp;S Journals'!E341</f>
        <v>0</v>
      </c>
      <c r="G26" s="26">
        <f>'Con B&amp;S Journals'!F341</f>
        <v>0</v>
      </c>
      <c r="H26" s="26">
        <f t="shared" si="11"/>
        <v>199742746</v>
      </c>
      <c r="I26" s="27"/>
      <c r="J26" s="27"/>
      <c r="K26" s="25" t="s">
        <v>8</v>
      </c>
      <c r="L26" s="26">
        <v>42000000</v>
      </c>
      <c r="M26" s="26">
        <v>107100000</v>
      </c>
      <c r="N26" s="26">
        <v>0</v>
      </c>
      <c r="O26" s="26">
        <v>0</v>
      </c>
      <c r="P26" s="293">
        <v>0</v>
      </c>
      <c r="Q26" s="26">
        <v>0</v>
      </c>
      <c r="R26" s="26">
        <f>9949947</f>
        <v>9949947</v>
      </c>
      <c r="S26" s="26">
        <v>0</v>
      </c>
      <c r="T26" s="26">
        <v>0</v>
      </c>
      <c r="U26" s="26">
        <v>0</v>
      </c>
      <c r="V26" s="26">
        <f>21528929+1137728</f>
        <v>22666657</v>
      </c>
      <c r="W26" s="281">
        <v>0</v>
      </c>
      <c r="X26" s="26">
        <v>0</v>
      </c>
      <c r="Y26" s="26">
        <f t="shared" si="12"/>
        <v>0</v>
      </c>
      <c r="Z26" s="26">
        <f t="shared" si="13"/>
        <v>0</v>
      </c>
      <c r="AA26" s="26">
        <f t="shared" si="14"/>
        <v>181716604</v>
      </c>
      <c r="AB26" s="27"/>
      <c r="AC26" s="28"/>
      <c r="AD26" s="25" t="s">
        <v>8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f t="shared" si="15"/>
        <v>0</v>
      </c>
      <c r="AR26" s="27"/>
      <c r="AS26" s="28"/>
      <c r="AT26" s="25" t="s">
        <v>8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f t="shared" si="16"/>
        <v>0</v>
      </c>
      <c r="BE26" s="27"/>
      <c r="BF26" s="329"/>
      <c r="BG26" s="25" t="s">
        <v>8</v>
      </c>
      <c r="BH26" s="281">
        <v>3561</v>
      </c>
      <c r="BI26" s="26">
        <v>5000</v>
      </c>
      <c r="BJ26" s="273">
        <v>0</v>
      </c>
      <c r="BK26" s="26"/>
      <c r="BL26" s="26">
        <v>0</v>
      </c>
      <c r="BM26" s="26">
        <f t="shared" si="17"/>
        <v>8561</v>
      </c>
      <c r="BN26" s="27"/>
      <c r="BO26" s="27"/>
    </row>
    <row r="27" spans="1:67" ht="16.5" customHeight="1">
      <c r="A27" s="361" t="s">
        <v>155</v>
      </c>
      <c r="B27" s="29">
        <v>0</v>
      </c>
      <c r="C27" s="26">
        <f t="shared" si="8"/>
        <v>2086000</v>
      </c>
      <c r="D27" s="26">
        <f>BM27</f>
        <v>46000000</v>
      </c>
      <c r="E27" s="26">
        <f>SUM(B27:D27)</f>
        <v>48086000</v>
      </c>
      <c r="F27" s="26"/>
      <c r="G27" s="26"/>
      <c r="H27" s="26">
        <f t="shared" si="11"/>
        <v>48086000</v>
      </c>
      <c r="I27" s="27"/>
      <c r="J27" s="27"/>
      <c r="K27" s="25"/>
      <c r="L27" s="26">
        <v>0</v>
      </c>
      <c r="M27" s="26">
        <v>0</v>
      </c>
      <c r="N27" s="26"/>
      <c r="O27" s="26"/>
      <c r="P27" s="281">
        <v>0</v>
      </c>
      <c r="Q27" s="26"/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81">
        <v>0</v>
      </c>
      <c r="X27" s="26"/>
      <c r="Y27" s="26">
        <f>AQ27</f>
        <v>2086000</v>
      </c>
      <c r="Z27" s="26">
        <f>BD27</f>
        <v>0</v>
      </c>
      <c r="AA27" s="26">
        <f t="shared" si="14"/>
        <v>2086000</v>
      </c>
      <c r="AB27" s="27"/>
      <c r="AC27" s="28"/>
      <c r="AD27" s="25"/>
      <c r="AE27" s="26"/>
      <c r="AF27" s="26"/>
      <c r="AG27" s="26"/>
      <c r="AH27" s="26"/>
      <c r="AI27" s="26"/>
      <c r="AJ27" s="26"/>
      <c r="AK27" s="26"/>
      <c r="AL27" s="26"/>
      <c r="AM27" s="26"/>
      <c r="AN27" s="26">
        <v>2086000</v>
      </c>
      <c r="AO27" s="26"/>
      <c r="AP27" s="26"/>
      <c r="AQ27" s="26">
        <f t="shared" si="15"/>
        <v>2086000</v>
      </c>
      <c r="AR27" s="27"/>
      <c r="AS27" s="28"/>
      <c r="AT27" s="25"/>
      <c r="AU27" s="26"/>
      <c r="AV27" s="26">
        <v>0</v>
      </c>
      <c r="AW27" s="26"/>
      <c r="AX27" s="26"/>
      <c r="AY27" s="26"/>
      <c r="AZ27" s="26"/>
      <c r="BA27" s="26"/>
      <c r="BB27" s="26"/>
      <c r="BC27" s="26"/>
      <c r="BD27" s="26"/>
      <c r="BE27" s="27"/>
      <c r="BF27" s="329"/>
      <c r="BG27" s="25"/>
      <c r="BH27" s="281">
        <v>0</v>
      </c>
      <c r="BI27" s="26">
        <v>0</v>
      </c>
      <c r="BJ27" s="279">
        <v>46000000</v>
      </c>
      <c r="BK27" s="26"/>
      <c r="BL27" s="26"/>
      <c r="BM27" s="26">
        <f t="shared" si="17"/>
        <v>46000000</v>
      </c>
      <c r="BN27" s="27"/>
      <c r="BO27" s="27"/>
    </row>
    <row r="28" spans="1:67" ht="16.5" customHeight="1">
      <c r="A28" s="422" t="s">
        <v>10</v>
      </c>
      <c r="B28" s="29">
        <v>0</v>
      </c>
      <c r="C28" s="26">
        <f t="shared" si="8"/>
        <v>0</v>
      </c>
      <c r="D28" s="26">
        <f t="shared" si="9"/>
        <v>0</v>
      </c>
      <c r="E28" s="26">
        <f t="shared" si="10"/>
        <v>0</v>
      </c>
      <c r="F28" s="26">
        <f>'Con B&amp;S Journals'!E321</f>
        <v>48021077</v>
      </c>
      <c r="G28" s="26">
        <f>'Con B&amp;S Journals'!F321</f>
        <v>48021077</v>
      </c>
      <c r="H28" s="26">
        <f t="shared" si="11"/>
        <v>0</v>
      </c>
      <c r="I28" s="27"/>
      <c r="J28" s="27"/>
      <c r="K28" s="25" t="s">
        <v>10</v>
      </c>
      <c r="L28" s="26">
        <v>0</v>
      </c>
      <c r="M28" s="26">
        <v>0</v>
      </c>
      <c r="N28" s="26">
        <v>0</v>
      </c>
      <c r="O28" s="26">
        <v>0</v>
      </c>
      <c r="P28" s="281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81">
        <v>0</v>
      </c>
      <c r="X28" s="26">
        <v>0</v>
      </c>
      <c r="Y28" s="26">
        <f t="shared" si="12"/>
        <v>0</v>
      </c>
      <c r="Z28" s="26">
        <f t="shared" si="13"/>
        <v>0</v>
      </c>
      <c r="AA28" s="26">
        <f t="shared" si="14"/>
        <v>0</v>
      </c>
      <c r="AB28" s="27"/>
      <c r="AC28" s="28"/>
      <c r="AD28" s="25" t="s">
        <v>10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f t="shared" si="15"/>
        <v>0</v>
      </c>
      <c r="AR28" s="27"/>
      <c r="AS28" s="28"/>
      <c r="AT28" s="25" t="s">
        <v>10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f t="shared" si="16"/>
        <v>0</v>
      </c>
      <c r="BE28" s="27"/>
      <c r="BF28" s="329"/>
      <c r="BG28" s="25" t="s">
        <v>10</v>
      </c>
      <c r="BH28" s="281">
        <v>0</v>
      </c>
      <c r="BI28" s="26">
        <v>0</v>
      </c>
      <c r="BJ28" s="273">
        <v>0</v>
      </c>
      <c r="BK28" s="26"/>
      <c r="BL28" s="26">
        <v>0</v>
      </c>
      <c r="BM28" s="26">
        <f t="shared" si="17"/>
        <v>0</v>
      </c>
      <c r="BN28" s="27"/>
      <c r="BO28" s="27"/>
    </row>
    <row r="29" spans="1:67" ht="16.5" customHeight="1">
      <c r="A29" s="423"/>
      <c r="B29" s="35"/>
      <c r="C29" s="26"/>
      <c r="D29" s="26"/>
      <c r="E29" s="26"/>
      <c r="F29" s="30"/>
      <c r="G29" s="30"/>
      <c r="H29" s="26"/>
      <c r="I29" s="27"/>
      <c r="J29" s="27"/>
      <c r="K29" s="35"/>
      <c r="L29" s="30"/>
      <c r="M29" s="26"/>
      <c r="N29" s="26"/>
      <c r="O29" s="26"/>
      <c r="P29" s="288"/>
      <c r="Q29" s="26"/>
      <c r="R29" s="30"/>
      <c r="S29" s="26"/>
      <c r="T29" s="26"/>
      <c r="U29" s="26"/>
      <c r="V29" s="26"/>
      <c r="W29" s="288"/>
      <c r="X29" s="26"/>
      <c r="Y29" s="26"/>
      <c r="Z29" s="26"/>
      <c r="AA29" s="26"/>
      <c r="AB29" s="27"/>
      <c r="AC29" s="28"/>
      <c r="AD29" s="35"/>
      <c r="AE29" s="30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7"/>
      <c r="AS29" s="28"/>
      <c r="AT29" s="35"/>
      <c r="AU29" s="30"/>
      <c r="AV29" s="26"/>
      <c r="AW29" s="26"/>
      <c r="AX29" s="26"/>
      <c r="AY29" s="26"/>
      <c r="AZ29" s="26"/>
      <c r="BA29" s="26"/>
      <c r="BB29" s="26"/>
      <c r="BC29" s="26"/>
      <c r="BD29" s="26"/>
      <c r="BE29" s="27"/>
      <c r="BF29" s="329"/>
      <c r="BG29" s="35"/>
      <c r="BH29" s="288"/>
      <c r="BI29" s="26"/>
      <c r="BJ29" s="278"/>
      <c r="BK29" s="26"/>
      <c r="BL29" s="26"/>
      <c r="BM29" s="26"/>
      <c r="BN29" s="27"/>
      <c r="BO29" s="27"/>
    </row>
    <row r="30" spans="1:67" ht="16.5" customHeight="1">
      <c r="A30" s="422" t="s">
        <v>11</v>
      </c>
      <c r="B30" s="35"/>
      <c r="C30" s="26"/>
      <c r="D30" s="26"/>
      <c r="E30" s="26"/>
      <c r="F30" s="26"/>
      <c r="G30" s="30"/>
      <c r="H30" s="26"/>
      <c r="I30" s="27"/>
      <c r="J30" s="27"/>
      <c r="K30" s="25" t="s">
        <v>11</v>
      </c>
      <c r="L30" s="30"/>
      <c r="M30" s="26"/>
      <c r="N30" s="26"/>
      <c r="O30" s="26"/>
      <c r="P30" s="288"/>
      <c r="Q30" s="26"/>
      <c r="R30" s="30"/>
      <c r="S30" s="26"/>
      <c r="T30" s="26"/>
      <c r="U30" s="26"/>
      <c r="V30" s="26"/>
      <c r="W30" s="288"/>
      <c r="X30" s="26"/>
      <c r="Y30" s="26"/>
      <c r="Z30" s="26"/>
      <c r="AA30" s="26"/>
      <c r="AB30" s="27"/>
      <c r="AC30" s="28"/>
      <c r="AD30" s="25" t="s">
        <v>11</v>
      </c>
      <c r="AE30" s="30"/>
      <c r="AF30" s="26"/>
      <c r="AG30" s="26"/>
      <c r="AH30" s="30"/>
      <c r="AI30" s="26"/>
      <c r="AJ30" s="26"/>
      <c r="AK30" s="26"/>
      <c r="AL30" s="26"/>
      <c r="AM30" s="30"/>
      <c r="AN30" s="26"/>
      <c r="AO30" s="26"/>
      <c r="AP30" s="26"/>
      <c r="AQ30" s="26"/>
      <c r="AR30" s="27"/>
      <c r="AS30" s="28"/>
      <c r="AT30" s="25" t="s">
        <v>11</v>
      </c>
      <c r="AU30" s="30"/>
      <c r="AV30" s="26"/>
      <c r="AW30" s="26"/>
      <c r="AX30" s="30"/>
      <c r="AY30" s="26"/>
      <c r="AZ30" s="26"/>
      <c r="BA30" s="26"/>
      <c r="BB30" s="26"/>
      <c r="BC30" s="26"/>
      <c r="BD30" s="26"/>
      <c r="BE30" s="27"/>
      <c r="BF30" s="329"/>
      <c r="BG30" s="25" t="s">
        <v>11</v>
      </c>
      <c r="BH30" s="288"/>
      <c r="BI30" s="26"/>
      <c r="BJ30" s="278"/>
      <c r="BK30" s="26"/>
      <c r="BL30" s="26"/>
      <c r="BM30" s="26"/>
      <c r="BN30" s="27"/>
      <c r="BO30" s="27"/>
    </row>
    <row r="31" spans="1:67" ht="16.5" customHeight="1">
      <c r="A31" s="376" t="s">
        <v>394</v>
      </c>
      <c r="B31" s="35">
        <v>0</v>
      </c>
      <c r="C31" s="26">
        <f>AA31</f>
        <v>186257414.88</v>
      </c>
      <c r="D31" s="26">
        <f>BM31</f>
        <v>0</v>
      </c>
      <c r="E31" s="26">
        <f aca="true" t="shared" si="18" ref="E31:E40">SUM(B31:D31)</f>
        <v>186257414.88</v>
      </c>
      <c r="F31" s="26">
        <f>'Con B&amp;S Journals'!E337</f>
        <v>54192118</v>
      </c>
      <c r="G31" s="26">
        <f>'Con B&amp;S Journals'!F337</f>
        <v>22671930</v>
      </c>
      <c r="H31" s="26">
        <f aca="true" t="shared" si="19" ref="H31:H40">E31+F31-G31</f>
        <v>217777602.88</v>
      </c>
      <c r="I31" s="27"/>
      <c r="J31" s="27"/>
      <c r="K31" s="29" t="s">
        <v>394</v>
      </c>
      <c r="L31" s="30">
        <v>0</v>
      </c>
      <c r="M31" s="26">
        <v>0</v>
      </c>
      <c r="N31" s="26">
        <v>0</v>
      </c>
      <c r="O31" s="26">
        <v>0</v>
      </c>
      <c r="P31" s="281">
        <v>1300636</v>
      </c>
      <c r="Q31" s="26">
        <v>237123</v>
      </c>
      <c r="R31" s="30">
        <v>144801649</v>
      </c>
      <c r="S31" s="26">
        <v>0</v>
      </c>
      <c r="T31" s="26">
        <v>2800000</v>
      </c>
      <c r="U31" s="26">
        <v>0</v>
      </c>
      <c r="V31" s="26">
        <f>1390612-1390612</f>
        <v>0</v>
      </c>
      <c r="W31" s="281">
        <v>32000000</v>
      </c>
      <c r="X31" s="26">
        <v>0</v>
      </c>
      <c r="Y31" s="26">
        <f aca="true" t="shared" si="20" ref="Y31:Y40">AQ31</f>
        <v>425000</v>
      </c>
      <c r="Z31" s="26">
        <f aca="true" t="shared" si="21" ref="Z31:Z40">BD31</f>
        <v>4693006.88</v>
      </c>
      <c r="AA31" s="26">
        <f aca="true" t="shared" si="22" ref="AA31:AA40">SUM(L31:Z31)</f>
        <v>186257414.88</v>
      </c>
      <c r="AB31" s="27"/>
      <c r="AC31" s="28"/>
      <c r="AD31" s="29" t="s">
        <v>394</v>
      </c>
      <c r="AE31" s="30">
        <v>0</v>
      </c>
      <c r="AF31" s="26">
        <v>0</v>
      </c>
      <c r="AG31" s="26">
        <v>0</v>
      </c>
      <c r="AH31" s="30">
        <v>0</v>
      </c>
      <c r="AI31" s="26">
        <v>0</v>
      </c>
      <c r="AJ31" s="26">
        <v>0</v>
      </c>
      <c r="AK31" s="26">
        <v>0</v>
      </c>
      <c r="AL31" s="26">
        <v>0</v>
      </c>
      <c r="AM31" s="30">
        <v>0</v>
      </c>
      <c r="AN31" s="26">
        <v>0</v>
      </c>
      <c r="AO31" s="26">
        <v>425000</v>
      </c>
      <c r="AP31" s="26">
        <v>0</v>
      </c>
      <c r="AQ31" s="26">
        <f>SUM(AE31:AP31)</f>
        <v>425000</v>
      </c>
      <c r="AR31" s="27"/>
      <c r="AS31" s="28"/>
      <c r="AT31" s="29" t="s">
        <v>394</v>
      </c>
      <c r="AU31" s="30">
        <v>4693006.88</v>
      </c>
      <c r="AV31" s="26">
        <v>0</v>
      </c>
      <c r="AW31" s="26">
        <v>0</v>
      </c>
      <c r="AX31" s="30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f>SUM(AU31:BC31)</f>
        <v>4693006.88</v>
      </c>
      <c r="BE31" s="27"/>
      <c r="BF31" s="329"/>
      <c r="BG31" s="29" t="s">
        <v>394</v>
      </c>
      <c r="BH31" s="281">
        <v>0</v>
      </c>
      <c r="BI31" s="26">
        <v>0</v>
      </c>
      <c r="BJ31" s="26">
        <v>0</v>
      </c>
      <c r="BK31" s="26"/>
      <c r="BL31" s="26">
        <v>0</v>
      </c>
      <c r="BM31" s="26">
        <f aca="true" t="shared" si="23" ref="BM31:BM40">SUM(BH31:BL31)</f>
        <v>0</v>
      </c>
      <c r="BN31" s="27"/>
      <c r="BO31" s="27"/>
    </row>
    <row r="32" spans="1:69" ht="16.5" customHeight="1">
      <c r="A32" s="376" t="s">
        <v>395</v>
      </c>
      <c r="B32" s="29">
        <v>0</v>
      </c>
      <c r="C32" s="26">
        <f aca="true" t="shared" si="24" ref="C32:C40">AA32</f>
        <v>1428574</v>
      </c>
      <c r="D32" s="26">
        <f aca="true" t="shared" si="25" ref="D32:D40">BM32</f>
        <v>0</v>
      </c>
      <c r="E32" s="26">
        <f t="shared" si="18"/>
        <v>1428574</v>
      </c>
      <c r="F32" s="26">
        <f>SUM('Con B&amp;S Journals'!E356:E358)</f>
        <v>0</v>
      </c>
      <c r="G32" s="26">
        <f>SUM('Con B&amp;S Journals'!F356:F358)</f>
        <v>0</v>
      </c>
      <c r="H32" s="26">
        <f t="shared" si="19"/>
        <v>1428574</v>
      </c>
      <c r="I32" s="27"/>
      <c r="J32" s="27"/>
      <c r="K32" s="29" t="s">
        <v>395</v>
      </c>
      <c r="L32" s="26">
        <v>0</v>
      </c>
      <c r="M32" s="26">
        <v>0</v>
      </c>
      <c r="N32" s="26">
        <v>0</v>
      </c>
      <c r="O32" s="26">
        <v>0</v>
      </c>
      <c r="P32" s="281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1428574</v>
      </c>
      <c r="W32" s="281">
        <v>0</v>
      </c>
      <c r="X32" s="26">
        <v>0</v>
      </c>
      <c r="Y32" s="26">
        <f t="shared" si="20"/>
        <v>0</v>
      </c>
      <c r="Z32" s="26">
        <f t="shared" si="21"/>
        <v>0</v>
      </c>
      <c r="AA32" s="26">
        <f t="shared" si="22"/>
        <v>1428574</v>
      </c>
      <c r="AB32" s="27"/>
      <c r="AC32" s="28"/>
      <c r="AD32" s="29" t="s">
        <v>395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f>SUM(AE32:AP32)</f>
        <v>0</v>
      </c>
      <c r="AR32" s="27"/>
      <c r="AS32" s="28"/>
      <c r="AT32" s="29" t="s">
        <v>395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f>SUM(AU32:BC32)</f>
        <v>0</v>
      </c>
      <c r="BE32" s="27"/>
      <c r="BF32" s="329"/>
      <c r="BG32" s="29" t="s">
        <v>395</v>
      </c>
      <c r="BH32" s="281">
        <v>0</v>
      </c>
      <c r="BI32" s="26">
        <v>0</v>
      </c>
      <c r="BJ32" s="273">
        <v>0</v>
      </c>
      <c r="BK32" s="26"/>
      <c r="BL32" s="26">
        <v>0</v>
      </c>
      <c r="BM32" s="26">
        <f t="shared" si="23"/>
        <v>0</v>
      </c>
      <c r="BN32" s="27"/>
      <c r="BO32" s="27"/>
      <c r="BQ32" s="37"/>
    </row>
    <row r="33" spans="1:69" ht="16.5" customHeight="1">
      <c r="A33" s="376" t="s">
        <v>396</v>
      </c>
      <c r="B33" s="29">
        <v>0</v>
      </c>
      <c r="C33" s="26">
        <f t="shared" si="24"/>
        <v>25255959.020000003</v>
      </c>
      <c r="D33" s="26">
        <f t="shared" si="25"/>
        <v>717296.53</v>
      </c>
      <c r="E33" s="26">
        <f t="shared" si="18"/>
        <v>25973255.550000004</v>
      </c>
      <c r="F33" s="26">
        <f>'Con B&amp;S Journals'!E359</f>
        <v>0</v>
      </c>
      <c r="G33" s="26">
        <f>'Con B&amp;S Journals'!F359</f>
        <v>0</v>
      </c>
      <c r="H33" s="26">
        <f t="shared" si="19"/>
        <v>25973255.550000004</v>
      </c>
      <c r="I33" s="27"/>
      <c r="J33" s="27"/>
      <c r="K33" s="29" t="s">
        <v>396</v>
      </c>
      <c r="L33" s="26">
        <v>2050</v>
      </c>
      <c r="M33" s="26">
        <v>192305.8</v>
      </c>
      <c r="N33" s="26">
        <v>0</v>
      </c>
      <c r="O33" s="26">
        <v>0</v>
      </c>
      <c r="P33" s="281">
        <v>4145613</v>
      </c>
      <c r="Q33" s="26">
        <v>0</v>
      </c>
      <c r="R33" s="26">
        <v>6805389</v>
      </c>
      <c r="S33" s="26">
        <v>0</v>
      </c>
      <c r="T33" s="26">
        <v>0</v>
      </c>
      <c r="U33" s="26">
        <f>3470517.98+74956.24</f>
        <v>3545474.22</v>
      </c>
      <c r="V33" s="26">
        <v>10565127</v>
      </c>
      <c r="W33" s="281">
        <v>0</v>
      </c>
      <c r="X33" s="26">
        <v>0</v>
      </c>
      <c r="Y33" s="26">
        <f t="shared" si="20"/>
        <v>0</v>
      </c>
      <c r="Z33" s="26">
        <f t="shared" si="21"/>
        <v>0</v>
      </c>
      <c r="AA33" s="26">
        <f t="shared" si="22"/>
        <v>25255959.020000003</v>
      </c>
      <c r="AB33" s="27"/>
      <c r="AC33" s="28"/>
      <c r="AD33" s="29" t="s">
        <v>396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f>SUM(AE33:AP33)</f>
        <v>0</v>
      </c>
      <c r="AR33" s="27"/>
      <c r="AS33" s="28"/>
      <c r="AT33" s="29" t="s">
        <v>396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f>SUM(AU33:BC33)</f>
        <v>0</v>
      </c>
      <c r="BE33" s="27"/>
      <c r="BF33" s="329"/>
      <c r="BG33" s="29" t="s">
        <v>396</v>
      </c>
      <c r="BH33" s="281">
        <f>187244.08-0.55</f>
        <v>187243.53</v>
      </c>
      <c r="BI33" s="26">
        <v>530053</v>
      </c>
      <c r="BJ33" s="273">
        <v>0</v>
      </c>
      <c r="BK33" s="26"/>
      <c r="BL33" s="26">
        <v>0</v>
      </c>
      <c r="BM33" s="26">
        <f t="shared" si="23"/>
        <v>717296.53</v>
      </c>
      <c r="BN33" s="27"/>
      <c r="BO33" s="27"/>
      <c r="BQ33" s="37"/>
    </row>
    <row r="34" spans="1:69" ht="16.5" customHeight="1">
      <c r="A34" s="376" t="s">
        <v>397</v>
      </c>
      <c r="B34" s="29">
        <v>250272</v>
      </c>
      <c r="C34" s="26">
        <f>AA34</f>
        <v>17299617.01</v>
      </c>
      <c r="D34" s="26">
        <f>BM34</f>
        <v>260192.64</v>
      </c>
      <c r="E34" s="26">
        <f>SUM(B34:D34)</f>
        <v>17810081.650000002</v>
      </c>
      <c r="F34" s="26">
        <f>'Con B&amp;S Journals'!E360+'Con B&amp;S Journals'!E361</f>
        <v>-8709.61</v>
      </c>
      <c r="G34" s="26">
        <f>'Con B&amp;S Journals'!F360+'Con B&amp;S Journals'!F361</f>
        <v>400250</v>
      </c>
      <c r="H34" s="26">
        <f>E34+F34-G34</f>
        <v>17401122.040000003</v>
      </c>
      <c r="I34" s="27"/>
      <c r="J34" s="27"/>
      <c r="K34" s="29" t="s">
        <v>397</v>
      </c>
      <c r="L34" s="26">
        <v>4330608</v>
      </c>
      <c r="M34" s="26">
        <v>499589</v>
      </c>
      <c r="N34" s="26">
        <v>1242325.5</v>
      </c>
      <c r="O34" s="26">
        <v>110500</v>
      </c>
      <c r="P34" s="281">
        <v>960844</v>
      </c>
      <c r="Q34" s="26">
        <v>62547</v>
      </c>
      <c r="R34" s="26">
        <v>261283</v>
      </c>
      <c r="S34" s="26">
        <v>6500</v>
      </c>
      <c r="T34" s="26">
        <v>0</v>
      </c>
      <c r="U34" s="26">
        <f>40119.74+58043.98-40119.74</f>
        <v>58043.98</v>
      </c>
      <c r="V34" s="26">
        <v>5413473</v>
      </c>
      <c r="W34" s="281">
        <v>793280</v>
      </c>
      <c r="X34" s="26">
        <v>0</v>
      </c>
      <c r="Y34" s="26">
        <f t="shared" si="20"/>
        <v>3560223.5300000003</v>
      </c>
      <c r="Z34" s="26">
        <f t="shared" si="21"/>
        <v>400</v>
      </c>
      <c r="AA34" s="26">
        <f>SUM(L34:Z34)</f>
        <v>17299617.01</v>
      </c>
      <c r="AB34" s="27"/>
      <c r="AC34" s="28"/>
      <c r="AD34" s="29" t="s">
        <v>397</v>
      </c>
      <c r="AE34" s="26">
        <v>2814.31</v>
      </c>
      <c r="AF34" s="26">
        <v>0</v>
      </c>
      <c r="AG34" s="26">
        <v>0</v>
      </c>
      <c r="AH34" s="26">
        <f>400000+11666</f>
        <v>411666</v>
      </c>
      <c r="AI34" s="26">
        <v>0</v>
      </c>
      <c r="AJ34" s="26">
        <v>0</v>
      </c>
      <c r="AK34" s="26">
        <v>0</v>
      </c>
      <c r="AL34" s="26">
        <v>0</v>
      </c>
      <c r="AM34" s="26">
        <v>100</v>
      </c>
      <c r="AN34" s="26">
        <v>51000</v>
      </c>
      <c r="AO34" s="26">
        <v>0</v>
      </c>
      <c r="AP34" s="26">
        <v>3094643.22</v>
      </c>
      <c r="AQ34" s="26">
        <f>SUM(AE34:AP34)</f>
        <v>3560223.5300000003</v>
      </c>
      <c r="AR34" s="27"/>
      <c r="AS34" s="28"/>
      <c r="AT34" s="29" t="s">
        <v>397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400</v>
      </c>
      <c r="BD34" s="26">
        <f>SUM(AU34:BC34)</f>
        <v>400</v>
      </c>
      <c r="BE34" s="27"/>
      <c r="BF34" s="329"/>
      <c r="BG34" s="29" t="s">
        <v>397</v>
      </c>
      <c r="BH34" s="281">
        <f>12910+8581.64</f>
        <v>21491.64</v>
      </c>
      <c r="BI34" s="26">
        <v>238701</v>
      </c>
      <c r="BJ34" s="279">
        <v>0</v>
      </c>
      <c r="BK34" s="26"/>
      <c r="BL34" s="26">
        <v>0</v>
      </c>
      <c r="BM34" s="26">
        <f>SUM(BH34:BL34)</f>
        <v>260192.64</v>
      </c>
      <c r="BN34" s="27"/>
      <c r="BO34" s="27"/>
      <c r="BQ34" s="37"/>
    </row>
    <row r="35" spans="1:67" ht="16.5" customHeight="1">
      <c r="A35" s="376" t="s">
        <v>398</v>
      </c>
      <c r="B35" s="29">
        <v>0</v>
      </c>
      <c r="C35" s="26">
        <f t="shared" si="24"/>
        <v>1091210.4</v>
      </c>
      <c r="D35" s="26">
        <f t="shared" si="25"/>
        <v>0</v>
      </c>
      <c r="E35" s="26">
        <f t="shared" si="18"/>
        <v>1091210.4</v>
      </c>
      <c r="F35" s="26"/>
      <c r="G35" s="26">
        <f>'Con B&amp;S Journals'!F362</f>
        <v>1091210.4</v>
      </c>
      <c r="H35" s="26">
        <f t="shared" si="19"/>
        <v>0</v>
      </c>
      <c r="I35" s="640" t="str">
        <f>IF(H35=0,"Holding OK","WRONG")</f>
        <v>Holding OK</v>
      </c>
      <c r="J35" s="27"/>
      <c r="K35" s="29" t="s">
        <v>398</v>
      </c>
      <c r="L35" s="26">
        <v>0</v>
      </c>
      <c r="M35" s="26">
        <v>0</v>
      </c>
      <c r="N35" s="26">
        <v>100000</v>
      </c>
      <c r="O35" s="26">
        <v>0</v>
      </c>
      <c r="P35" s="281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81">
        <v>0</v>
      </c>
      <c r="X35" s="26">
        <v>518377</v>
      </c>
      <c r="Y35" s="26">
        <f t="shared" si="20"/>
        <v>69380.9</v>
      </c>
      <c r="Z35" s="26">
        <f t="shared" si="21"/>
        <v>403452.5</v>
      </c>
      <c r="AA35" s="26">
        <f t="shared" si="22"/>
        <v>1091210.4</v>
      </c>
      <c r="AB35" s="27"/>
      <c r="AC35" s="28"/>
      <c r="AD35" s="29" t="s">
        <v>398</v>
      </c>
      <c r="AE35" s="26">
        <v>69380.9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f aca="true" t="shared" si="26" ref="AQ35:AQ40">SUM(AE35:AP35)</f>
        <v>69380.9</v>
      </c>
      <c r="AR35" s="27"/>
      <c r="AS35" s="28"/>
      <c r="AT35" s="29" t="s">
        <v>398</v>
      </c>
      <c r="AU35" s="26">
        <v>0</v>
      </c>
      <c r="AV35" s="26">
        <v>9905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393547.5</v>
      </c>
      <c r="BD35" s="26">
        <f aca="true" t="shared" si="27" ref="BD35:BD40">SUM(AU35:BC35)</f>
        <v>403452.5</v>
      </c>
      <c r="BE35" s="27"/>
      <c r="BF35" s="329"/>
      <c r="BG35" s="29" t="s">
        <v>398</v>
      </c>
      <c r="BH35" s="281">
        <v>0</v>
      </c>
      <c r="BI35" s="26">
        <v>0</v>
      </c>
      <c r="BJ35" s="273">
        <v>0</v>
      </c>
      <c r="BK35" s="26"/>
      <c r="BL35" s="26">
        <v>0</v>
      </c>
      <c r="BM35" s="26">
        <f t="shared" si="23"/>
        <v>0</v>
      </c>
      <c r="BN35" s="27"/>
      <c r="BO35" s="27"/>
    </row>
    <row r="36" spans="1:67" ht="16.5" customHeight="1">
      <c r="A36" s="376" t="s">
        <v>399</v>
      </c>
      <c r="B36" s="29">
        <v>149931038</v>
      </c>
      <c r="C36" s="26">
        <f t="shared" si="24"/>
        <v>7620791.75</v>
      </c>
      <c r="D36" s="26">
        <f t="shared" si="25"/>
        <v>0</v>
      </c>
      <c r="E36" s="26">
        <f t="shared" si="18"/>
        <v>157551829.75</v>
      </c>
      <c r="F36" s="26">
        <f>'Con B&amp;S Journals'!E363</f>
        <v>385103906</v>
      </c>
      <c r="G36" s="26">
        <f>'Con B&amp;S Journals'!F363</f>
        <v>542655735.75</v>
      </c>
      <c r="H36" s="26">
        <f t="shared" si="19"/>
        <v>0</v>
      </c>
      <c r="I36" s="640" t="str">
        <f>IF(H36=0,"Subsi OK","WRONG")</f>
        <v>Subsi OK</v>
      </c>
      <c r="J36" s="27"/>
      <c r="K36" s="29" t="s">
        <v>399</v>
      </c>
      <c r="L36" s="26">
        <v>0</v>
      </c>
      <c r="M36" s="26">
        <v>0</v>
      </c>
      <c r="N36" s="26">
        <v>0</v>
      </c>
      <c r="O36" s="26">
        <v>0</v>
      </c>
      <c r="P36" s="281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109</v>
      </c>
      <c r="W36" s="281">
        <v>0</v>
      </c>
      <c r="X36" s="26">
        <v>0</v>
      </c>
      <c r="Y36" s="26">
        <f t="shared" si="20"/>
        <v>7620682.75</v>
      </c>
      <c r="Z36" s="26">
        <f t="shared" si="21"/>
        <v>0</v>
      </c>
      <c r="AA36" s="26">
        <f t="shared" si="22"/>
        <v>7620791.75</v>
      </c>
      <c r="AB36" s="27"/>
      <c r="AC36" s="28"/>
      <c r="AD36" s="29" t="s">
        <v>399</v>
      </c>
      <c r="AE36" s="26">
        <v>0</v>
      </c>
      <c r="AF36" s="26">
        <v>0</v>
      </c>
      <c r="AG36" s="26">
        <v>7138439.35</v>
      </c>
      <c r="AH36" s="26">
        <v>481387.4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856</v>
      </c>
      <c r="AQ36" s="26">
        <f t="shared" si="26"/>
        <v>7620682.75</v>
      </c>
      <c r="AR36" s="27"/>
      <c r="AS36" s="28"/>
      <c r="AT36" s="29" t="s">
        <v>399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f t="shared" si="27"/>
        <v>0</v>
      </c>
      <c r="BE36" s="27"/>
      <c r="BF36" s="329"/>
      <c r="BG36" s="29" t="s">
        <v>399</v>
      </c>
      <c r="BH36" s="281">
        <v>0</v>
      </c>
      <c r="BI36" s="26">
        <v>0</v>
      </c>
      <c r="BJ36" s="273">
        <v>0</v>
      </c>
      <c r="BK36" s="26"/>
      <c r="BL36" s="26">
        <v>0</v>
      </c>
      <c r="BM36" s="26">
        <f t="shared" si="23"/>
        <v>0</v>
      </c>
      <c r="BN36" s="27"/>
      <c r="BO36" s="27"/>
    </row>
    <row r="37" spans="1:67" ht="16.5" customHeight="1">
      <c r="A37" s="376" t="s">
        <v>400</v>
      </c>
      <c r="B37" s="29">
        <v>0</v>
      </c>
      <c r="C37" s="26">
        <f t="shared" si="24"/>
        <v>822682.8</v>
      </c>
      <c r="D37" s="26">
        <f t="shared" si="25"/>
        <v>0</v>
      </c>
      <c r="E37" s="26">
        <f t="shared" si="18"/>
        <v>822682.8</v>
      </c>
      <c r="F37" s="26"/>
      <c r="G37" s="26">
        <f>'Con B&amp;S Journals'!F364</f>
        <v>822682.8</v>
      </c>
      <c r="H37" s="26">
        <f t="shared" si="19"/>
        <v>0</v>
      </c>
      <c r="I37" s="640" t="str">
        <f>IF(H37=0,"Related OK","WRONG")</f>
        <v>Related OK</v>
      </c>
      <c r="J37" s="27"/>
      <c r="K37" s="29" t="s">
        <v>400</v>
      </c>
      <c r="L37" s="26">
        <v>0</v>
      </c>
      <c r="M37" s="26">
        <v>0</v>
      </c>
      <c r="N37" s="26">
        <v>0</v>
      </c>
      <c r="O37" s="26">
        <v>60000</v>
      </c>
      <c r="P37" s="281">
        <v>0</v>
      </c>
      <c r="Q37" s="26">
        <v>762682.8</v>
      </c>
      <c r="R37" s="26">
        <f>145834-145834</f>
        <v>0</v>
      </c>
      <c r="S37" s="26">
        <v>0</v>
      </c>
      <c r="T37" s="26">
        <v>0</v>
      </c>
      <c r="U37" s="26">
        <v>0</v>
      </c>
      <c r="V37" s="26">
        <v>0</v>
      </c>
      <c r="W37" s="281">
        <v>0</v>
      </c>
      <c r="X37" s="26">
        <v>0</v>
      </c>
      <c r="Y37" s="26">
        <f t="shared" si="20"/>
        <v>0</v>
      </c>
      <c r="Z37" s="26">
        <f t="shared" si="21"/>
        <v>0</v>
      </c>
      <c r="AA37" s="26">
        <f t="shared" si="22"/>
        <v>822682.8</v>
      </c>
      <c r="AB37" s="27"/>
      <c r="AC37" s="28"/>
      <c r="AD37" s="29" t="s">
        <v>400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f t="shared" si="26"/>
        <v>0</v>
      </c>
      <c r="AR37" s="27"/>
      <c r="AS37" s="28"/>
      <c r="AT37" s="29" t="s">
        <v>400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f t="shared" si="27"/>
        <v>0</v>
      </c>
      <c r="BE37" s="27"/>
      <c r="BF37" s="329"/>
      <c r="BG37" s="29" t="s">
        <v>400</v>
      </c>
      <c r="BH37" s="281">
        <v>0</v>
      </c>
      <c r="BI37" s="26">
        <v>0</v>
      </c>
      <c r="BJ37" s="273">
        <v>0</v>
      </c>
      <c r="BK37" s="26"/>
      <c r="BL37" s="26">
        <v>0</v>
      </c>
      <c r="BM37" s="26">
        <f t="shared" si="23"/>
        <v>0</v>
      </c>
      <c r="BN37" s="27"/>
      <c r="BO37" s="27"/>
    </row>
    <row r="38" spans="1:67" ht="16.5" customHeight="1">
      <c r="A38" s="376" t="s">
        <v>401</v>
      </c>
      <c r="B38" s="29">
        <v>4862797</v>
      </c>
      <c r="C38" s="26">
        <f t="shared" si="24"/>
        <v>0</v>
      </c>
      <c r="D38" s="26">
        <f t="shared" si="25"/>
        <v>-250060</v>
      </c>
      <c r="E38" s="26">
        <f t="shared" si="18"/>
        <v>4612737</v>
      </c>
      <c r="F38" s="30"/>
      <c r="G38" s="26">
        <f>'Con B&amp;S Journals'!F365</f>
        <v>0</v>
      </c>
      <c r="H38" s="26">
        <f t="shared" si="19"/>
        <v>4612737</v>
      </c>
      <c r="I38" s="27"/>
      <c r="J38" s="27"/>
      <c r="K38" s="29" t="s">
        <v>401</v>
      </c>
      <c r="L38" s="26">
        <v>0</v>
      </c>
      <c r="M38" s="26">
        <v>0</v>
      </c>
      <c r="N38" s="26">
        <v>0</v>
      </c>
      <c r="O38" s="26">
        <v>0</v>
      </c>
      <c r="P38" s="281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81">
        <v>0</v>
      </c>
      <c r="X38" s="26">
        <v>0</v>
      </c>
      <c r="Y38" s="26">
        <f t="shared" si="20"/>
        <v>0</v>
      </c>
      <c r="Z38" s="26">
        <f t="shared" si="21"/>
        <v>0</v>
      </c>
      <c r="AA38" s="26">
        <f t="shared" si="22"/>
        <v>0</v>
      </c>
      <c r="AB38" s="27"/>
      <c r="AC38" s="28"/>
      <c r="AD38" s="29" t="s">
        <v>401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f t="shared" si="26"/>
        <v>0</v>
      </c>
      <c r="AR38" s="27"/>
      <c r="AS38" s="28"/>
      <c r="AT38" s="29" t="s">
        <v>401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f t="shared" si="27"/>
        <v>0</v>
      </c>
      <c r="BE38" s="27"/>
      <c r="BF38" s="329"/>
      <c r="BG38" s="29" t="s">
        <v>401</v>
      </c>
      <c r="BH38" s="281">
        <v>0</v>
      </c>
      <c r="BI38" s="305">
        <v>-250060</v>
      </c>
      <c r="BJ38" s="273">
        <v>0</v>
      </c>
      <c r="BK38" s="26"/>
      <c r="BL38" s="26">
        <v>0</v>
      </c>
      <c r="BM38" s="26">
        <f t="shared" si="23"/>
        <v>-250060</v>
      </c>
      <c r="BN38" s="27"/>
      <c r="BO38" s="27"/>
    </row>
    <row r="39" spans="1:69" ht="16.5" customHeight="1">
      <c r="A39" s="376" t="s">
        <v>402</v>
      </c>
      <c r="B39" s="29">
        <v>0</v>
      </c>
      <c r="C39" s="26">
        <f t="shared" si="24"/>
        <v>9921509.17</v>
      </c>
      <c r="D39" s="26">
        <f t="shared" si="25"/>
        <v>0</v>
      </c>
      <c r="E39" s="26">
        <f t="shared" si="18"/>
        <v>9921509.17</v>
      </c>
      <c r="F39" s="30"/>
      <c r="G39" s="30"/>
      <c r="H39" s="26">
        <f t="shared" si="19"/>
        <v>9921509.17</v>
      </c>
      <c r="I39" s="27"/>
      <c r="J39" s="27"/>
      <c r="K39" s="29" t="s">
        <v>402</v>
      </c>
      <c r="L39" s="26">
        <v>0</v>
      </c>
      <c r="M39" s="26">
        <v>455043.5</v>
      </c>
      <c r="N39" s="26">
        <v>8000000</v>
      </c>
      <c r="O39" s="26">
        <v>0</v>
      </c>
      <c r="P39" s="281">
        <v>0</v>
      </c>
      <c r="Q39" s="26">
        <v>0</v>
      </c>
      <c r="R39" s="26">
        <v>321441</v>
      </c>
      <c r="S39" s="26">
        <v>0</v>
      </c>
      <c r="T39" s="26">
        <v>0</v>
      </c>
      <c r="U39" s="26">
        <v>1120500.67</v>
      </c>
      <c r="V39" s="26">
        <f>20000+4524</f>
        <v>24524</v>
      </c>
      <c r="W39" s="281">
        <v>0</v>
      </c>
      <c r="X39" s="26">
        <v>0</v>
      </c>
      <c r="Y39" s="26">
        <f t="shared" si="20"/>
        <v>0</v>
      </c>
      <c r="Z39" s="26">
        <f t="shared" si="21"/>
        <v>0</v>
      </c>
      <c r="AA39" s="26">
        <f t="shared" si="22"/>
        <v>9921509.17</v>
      </c>
      <c r="AB39" s="27"/>
      <c r="AC39" s="28"/>
      <c r="AD39" s="29" t="s">
        <v>402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f t="shared" si="26"/>
        <v>0</v>
      </c>
      <c r="AR39" s="27"/>
      <c r="AS39" s="28"/>
      <c r="AT39" s="29" t="s">
        <v>402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f t="shared" si="27"/>
        <v>0</v>
      </c>
      <c r="BE39" s="27"/>
      <c r="BF39" s="329"/>
      <c r="BG39" s="29" t="s">
        <v>402</v>
      </c>
      <c r="BH39" s="281">
        <v>0</v>
      </c>
      <c r="BI39" s="26">
        <v>0</v>
      </c>
      <c r="BJ39" s="279">
        <v>0</v>
      </c>
      <c r="BK39" s="26"/>
      <c r="BL39" s="26">
        <v>0</v>
      </c>
      <c r="BM39" s="26">
        <f t="shared" si="23"/>
        <v>0</v>
      </c>
      <c r="BN39" s="27"/>
      <c r="BO39" s="27"/>
      <c r="BQ39" s="37"/>
    </row>
    <row r="40" spans="1:69" ht="16.5" customHeight="1">
      <c r="A40" s="376" t="s">
        <v>406</v>
      </c>
      <c r="B40" s="29">
        <v>12755</v>
      </c>
      <c r="C40" s="26">
        <f t="shared" si="24"/>
        <v>4373794.12</v>
      </c>
      <c r="D40" s="26">
        <f t="shared" si="25"/>
        <v>394145.04000000004</v>
      </c>
      <c r="E40" s="26">
        <f t="shared" si="18"/>
        <v>4780694.16</v>
      </c>
      <c r="F40" s="26">
        <f>'Con B&amp;S Journals'!E377</f>
        <v>0</v>
      </c>
      <c r="G40" s="26">
        <f>'Con B&amp;S Journals'!F377</f>
        <v>0</v>
      </c>
      <c r="H40" s="26">
        <f t="shared" si="19"/>
        <v>4780694.16</v>
      </c>
      <c r="I40" s="27"/>
      <c r="J40" s="27"/>
      <c r="K40" s="29" t="s">
        <v>406</v>
      </c>
      <c r="L40" s="26">
        <v>255781.3</v>
      </c>
      <c r="M40" s="26">
        <v>384881.5</v>
      </c>
      <c r="N40" s="26">
        <v>486200.5</v>
      </c>
      <c r="O40" s="26">
        <v>2329</v>
      </c>
      <c r="P40" s="281">
        <v>1619217</v>
      </c>
      <c r="Q40" s="26">
        <v>4098.6</v>
      </c>
      <c r="R40" s="26">
        <v>841470.5</v>
      </c>
      <c r="S40" s="26">
        <v>2398</v>
      </c>
      <c r="T40" s="26">
        <v>1698</v>
      </c>
      <c r="U40" s="26">
        <v>275347.66</v>
      </c>
      <c r="V40" s="26">
        <v>434921</v>
      </c>
      <c r="W40" s="281">
        <v>2</v>
      </c>
      <c r="X40" s="26">
        <v>8841</v>
      </c>
      <c r="Y40" s="26">
        <f t="shared" si="20"/>
        <v>56596.06</v>
      </c>
      <c r="Z40" s="26">
        <f t="shared" si="21"/>
        <v>12</v>
      </c>
      <c r="AA40" s="26">
        <f t="shared" si="22"/>
        <v>4373794.12</v>
      </c>
      <c r="AB40" s="27"/>
      <c r="AC40" s="28"/>
      <c r="AD40" s="29" t="s">
        <v>406</v>
      </c>
      <c r="AE40" s="26">
        <v>9467.86</v>
      </c>
      <c r="AF40" s="26">
        <f>17.2+2</f>
        <v>19.2</v>
      </c>
      <c r="AG40" s="26">
        <v>1983.4</v>
      </c>
      <c r="AH40" s="26">
        <v>2</v>
      </c>
      <c r="AI40" s="26">
        <v>2</v>
      </c>
      <c r="AJ40" s="26">
        <v>2</v>
      </c>
      <c r="AK40" s="26">
        <v>2.5</v>
      </c>
      <c r="AL40" s="26">
        <v>2.5</v>
      </c>
      <c r="AM40" s="26">
        <v>109</v>
      </c>
      <c r="AN40" s="26">
        <f>44999.6+2</f>
        <v>45001.6</v>
      </c>
      <c r="AO40" s="26">
        <v>2</v>
      </c>
      <c r="AP40" s="26">
        <v>2</v>
      </c>
      <c r="AQ40" s="26">
        <f t="shared" si="26"/>
        <v>56596.06</v>
      </c>
      <c r="AR40" s="27"/>
      <c r="AS40" s="28"/>
      <c r="AT40" s="29" t="s">
        <v>406</v>
      </c>
      <c r="AU40" s="26">
        <v>2</v>
      </c>
      <c r="AV40" s="26">
        <v>2</v>
      </c>
      <c r="AW40" s="26">
        <v>2</v>
      </c>
      <c r="AX40" s="26">
        <v>2</v>
      </c>
      <c r="AY40" s="26">
        <v>2</v>
      </c>
      <c r="AZ40" s="26">
        <v>0</v>
      </c>
      <c r="BA40" s="26">
        <v>2</v>
      </c>
      <c r="BB40" s="26">
        <v>0</v>
      </c>
      <c r="BC40" s="26">
        <v>0</v>
      </c>
      <c r="BD40" s="26">
        <f t="shared" si="27"/>
        <v>12</v>
      </c>
      <c r="BE40" s="27"/>
      <c r="BF40" s="329"/>
      <c r="BG40" s="29" t="s">
        <v>406</v>
      </c>
      <c r="BH40" s="281">
        <v>193.77</v>
      </c>
      <c r="BI40" s="38">
        <v>393597</v>
      </c>
      <c r="BJ40" s="273">
        <v>354.27</v>
      </c>
      <c r="BK40" s="26"/>
      <c r="BL40" s="26">
        <v>0</v>
      </c>
      <c r="BM40" s="26">
        <f t="shared" si="23"/>
        <v>394145.04000000004</v>
      </c>
      <c r="BN40" s="27"/>
      <c r="BO40" s="27"/>
      <c r="BQ40" s="37"/>
    </row>
    <row r="41" spans="1:69" ht="16.5" customHeight="1">
      <c r="A41" s="376"/>
      <c r="B41" s="29"/>
      <c r="C41" s="26"/>
      <c r="D41" s="26"/>
      <c r="E41" s="26"/>
      <c r="F41" s="26"/>
      <c r="G41" s="26"/>
      <c r="H41" s="26"/>
      <c r="I41" s="27"/>
      <c r="J41" s="27"/>
      <c r="K41" s="29"/>
      <c r="L41" s="26"/>
      <c r="M41" s="26"/>
      <c r="N41" s="26"/>
      <c r="O41" s="26"/>
      <c r="P41" s="287"/>
      <c r="Q41" s="26"/>
      <c r="R41" s="26"/>
      <c r="S41" s="26"/>
      <c r="T41" s="26"/>
      <c r="U41" s="26"/>
      <c r="V41" s="26"/>
      <c r="W41" s="287"/>
      <c r="X41" s="26"/>
      <c r="Y41" s="26"/>
      <c r="Z41" s="26"/>
      <c r="AA41" s="26"/>
      <c r="AB41" s="27"/>
      <c r="AC41" s="28"/>
      <c r="AD41" s="29"/>
      <c r="AE41" s="26"/>
      <c r="AF41" s="26"/>
      <c r="AG41" s="26"/>
      <c r="AH41" s="34"/>
      <c r="AI41" s="26"/>
      <c r="AJ41" s="26"/>
      <c r="AK41" s="26"/>
      <c r="AL41" s="26"/>
      <c r="AM41" s="34"/>
      <c r="AN41" s="26"/>
      <c r="AO41" s="26"/>
      <c r="AP41" s="26"/>
      <c r="AQ41" s="26"/>
      <c r="AR41" s="27"/>
      <c r="AS41" s="28"/>
      <c r="AT41" s="29"/>
      <c r="AU41" s="26"/>
      <c r="AV41" s="26"/>
      <c r="AW41" s="26"/>
      <c r="AX41" s="34"/>
      <c r="AY41" s="26"/>
      <c r="AZ41" s="26"/>
      <c r="BA41" s="26"/>
      <c r="BB41" s="26"/>
      <c r="BC41" s="26"/>
      <c r="BD41" s="26"/>
      <c r="BE41" s="27"/>
      <c r="BF41" s="329"/>
      <c r="BG41" s="29"/>
      <c r="BH41" s="287"/>
      <c r="BI41" s="38"/>
      <c r="BJ41" s="277"/>
      <c r="BK41" s="26"/>
      <c r="BL41" s="26"/>
      <c r="BM41" s="26"/>
      <c r="BN41" s="27"/>
      <c r="BO41" s="27"/>
      <c r="BQ41" s="37"/>
    </row>
    <row r="42" spans="1:67" ht="16.5" customHeight="1">
      <c r="A42" s="423"/>
      <c r="B42" s="425">
        <f>SUM(B31:B41)</f>
        <v>155056862</v>
      </c>
      <c r="C42" s="39">
        <f>SUM(C31:C40)</f>
        <v>254071553.15</v>
      </c>
      <c r="D42" s="39">
        <f>SUM(D31:D40)</f>
        <v>1121574.21</v>
      </c>
      <c r="E42" s="39">
        <f>SUM(E31:E40)</f>
        <v>410249989.3600001</v>
      </c>
      <c r="F42" s="30"/>
      <c r="G42" s="30"/>
      <c r="H42" s="39">
        <f>SUM(H31:H40)</f>
        <v>281895494.8</v>
      </c>
      <c r="I42" s="27"/>
      <c r="J42" s="27"/>
      <c r="K42" s="35"/>
      <c r="L42" s="39">
        <f>SUM(L31:L40)</f>
        <v>4588439.3</v>
      </c>
      <c r="M42" s="39">
        <f>SUM(M31:M40)</f>
        <v>1531819.8</v>
      </c>
      <c r="N42" s="39">
        <f>SUM(N31:N40)</f>
        <v>9828526</v>
      </c>
      <c r="O42" s="39">
        <f>SUM(O31:O40)</f>
        <v>172829</v>
      </c>
      <c r="P42" s="39">
        <f aca="true" t="shared" si="28" ref="P42:AA42">SUM(P31:P40)</f>
        <v>8026310</v>
      </c>
      <c r="Q42" s="39">
        <f t="shared" si="28"/>
        <v>1066451.4000000001</v>
      </c>
      <c r="R42" s="39">
        <f t="shared" si="28"/>
        <v>153031232.5</v>
      </c>
      <c r="S42" s="39">
        <f t="shared" si="28"/>
        <v>8898</v>
      </c>
      <c r="T42" s="39">
        <f t="shared" si="28"/>
        <v>2801698</v>
      </c>
      <c r="U42" s="39">
        <f t="shared" si="28"/>
        <v>4999366.53</v>
      </c>
      <c r="V42" s="39">
        <f t="shared" si="28"/>
        <v>17866728</v>
      </c>
      <c r="W42" s="39">
        <f t="shared" si="28"/>
        <v>32793282</v>
      </c>
      <c r="X42" s="39">
        <f t="shared" si="28"/>
        <v>527218</v>
      </c>
      <c r="Y42" s="39">
        <f t="shared" si="28"/>
        <v>11731883.24</v>
      </c>
      <c r="Z42" s="39">
        <f t="shared" si="28"/>
        <v>5096871.38</v>
      </c>
      <c r="AA42" s="39">
        <f t="shared" si="28"/>
        <v>254071553.15</v>
      </c>
      <c r="AB42" s="27"/>
      <c r="AC42" s="28"/>
      <c r="AD42" s="35"/>
      <c r="AE42" s="39">
        <f aca="true" t="shared" si="29" ref="AE42:AQ42">SUM(AE31:AE40)</f>
        <v>81663.06999999999</v>
      </c>
      <c r="AF42" s="39">
        <f t="shared" si="29"/>
        <v>19.2</v>
      </c>
      <c r="AG42" s="39">
        <f t="shared" si="29"/>
        <v>7140422.75</v>
      </c>
      <c r="AH42" s="39">
        <f t="shared" si="29"/>
        <v>893055.4</v>
      </c>
      <c r="AI42" s="39">
        <f t="shared" si="29"/>
        <v>2</v>
      </c>
      <c r="AJ42" s="39">
        <f t="shared" si="29"/>
        <v>2</v>
      </c>
      <c r="AK42" s="39">
        <f t="shared" si="29"/>
        <v>2.5</v>
      </c>
      <c r="AL42" s="39">
        <f t="shared" si="29"/>
        <v>2.5</v>
      </c>
      <c r="AM42" s="39">
        <f>SUM(AM31:AM40)</f>
        <v>209</v>
      </c>
      <c r="AN42" s="39">
        <f>SUM(AN31:AN40)</f>
        <v>96001.6</v>
      </c>
      <c r="AO42" s="39">
        <f t="shared" si="29"/>
        <v>425002</v>
      </c>
      <c r="AP42" s="39">
        <f t="shared" si="29"/>
        <v>3095501.22</v>
      </c>
      <c r="AQ42" s="39">
        <f t="shared" si="29"/>
        <v>11731883.24</v>
      </c>
      <c r="AR42" s="27"/>
      <c r="AS42" s="28"/>
      <c r="AT42" s="35"/>
      <c r="AU42" s="39">
        <f aca="true" t="shared" si="30" ref="AU42:BD42">SUM(AU31:AU40)</f>
        <v>4693008.88</v>
      </c>
      <c r="AV42" s="39">
        <f>SUM(AV31:AV40)</f>
        <v>9907</v>
      </c>
      <c r="AW42" s="39">
        <f t="shared" si="30"/>
        <v>2</v>
      </c>
      <c r="AX42" s="39">
        <f t="shared" si="30"/>
        <v>2</v>
      </c>
      <c r="AY42" s="39">
        <f t="shared" si="30"/>
        <v>2</v>
      </c>
      <c r="AZ42" s="39">
        <f t="shared" si="30"/>
        <v>0</v>
      </c>
      <c r="BA42" s="39">
        <f t="shared" si="30"/>
        <v>2</v>
      </c>
      <c r="BB42" s="39">
        <f t="shared" si="30"/>
        <v>0</v>
      </c>
      <c r="BC42" s="39">
        <f t="shared" si="30"/>
        <v>393947.5</v>
      </c>
      <c r="BD42" s="39">
        <f t="shared" si="30"/>
        <v>5096871.38</v>
      </c>
      <c r="BE42" s="27"/>
      <c r="BF42" s="329"/>
      <c r="BG42" s="35"/>
      <c r="BH42" s="39">
        <f aca="true" t="shared" si="31" ref="BH42:BM42">SUM(BH31:BH40)</f>
        <v>208928.93999999997</v>
      </c>
      <c r="BI42" s="39">
        <f t="shared" si="31"/>
        <v>912291</v>
      </c>
      <c r="BJ42" s="39">
        <f t="shared" si="31"/>
        <v>354.27</v>
      </c>
      <c r="BK42" s="39"/>
      <c r="BL42" s="39">
        <f t="shared" si="31"/>
        <v>0</v>
      </c>
      <c r="BM42" s="39">
        <f t="shared" si="31"/>
        <v>1121574.21</v>
      </c>
      <c r="BN42" s="27"/>
      <c r="BO42" s="27"/>
    </row>
    <row r="43" spans="1:67" ht="16.5" customHeight="1">
      <c r="A43" s="422" t="s">
        <v>12</v>
      </c>
      <c r="B43" s="35"/>
      <c r="C43" s="26"/>
      <c r="D43" s="26"/>
      <c r="E43" s="26"/>
      <c r="F43" s="30"/>
      <c r="G43" s="30"/>
      <c r="H43" s="26"/>
      <c r="I43" s="27"/>
      <c r="J43" s="27"/>
      <c r="K43" s="25" t="s">
        <v>12</v>
      </c>
      <c r="L43" s="30"/>
      <c r="M43" s="26"/>
      <c r="N43" s="26"/>
      <c r="O43" s="26"/>
      <c r="P43" s="288"/>
      <c r="Q43" s="26"/>
      <c r="R43" s="30"/>
      <c r="S43" s="26"/>
      <c r="T43" s="26"/>
      <c r="U43" s="26"/>
      <c r="V43" s="26"/>
      <c r="W43" s="288"/>
      <c r="X43" s="26"/>
      <c r="Y43" s="26"/>
      <c r="Z43" s="26"/>
      <c r="AA43" s="26"/>
      <c r="AB43" s="27"/>
      <c r="AC43" s="28"/>
      <c r="AD43" s="25" t="s">
        <v>12</v>
      </c>
      <c r="AE43" s="30"/>
      <c r="AF43" s="26"/>
      <c r="AG43" s="26"/>
      <c r="AH43" s="30"/>
      <c r="AI43" s="26"/>
      <c r="AJ43" s="26"/>
      <c r="AK43" s="26"/>
      <c r="AL43" s="26"/>
      <c r="AM43" s="30"/>
      <c r="AN43" s="26"/>
      <c r="AO43" s="26"/>
      <c r="AP43" s="26"/>
      <c r="AQ43" s="26"/>
      <c r="AR43" s="27"/>
      <c r="AS43" s="28"/>
      <c r="AT43" s="25" t="s">
        <v>12</v>
      </c>
      <c r="AU43" s="30"/>
      <c r="AV43" s="26"/>
      <c r="AW43" s="26"/>
      <c r="AX43" s="30"/>
      <c r="AY43" s="26"/>
      <c r="AZ43" s="26"/>
      <c r="BA43" s="26"/>
      <c r="BB43" s="26"/>
      <c r="BC43" s="26"/>
      <c r="BD43" s="26"/>
      <c r="BE43" s="27"/>
      <c r="BF43" s="329"/>
      <c r="BG43" s="25" t="s">
        <v>12</v>
      </c>
      <c r="BH43" s="288"/>
      <c r="BI43" s="26"/>
      <c r="BJ43" s="280"/>
      <c r="BK43" s="26"/>
      <c r="BL43" s="26"/>
      <c r="BM43" s="26"/>
      <c r="BN43" s="27"/>
      <c r="BO43" s="27"/>
    </row>
    <row r="44" spans="1:67" ht="16.5" customHeight="1">
      <c r="A44" s="376" t="s">
        <v>409</v>
      </c>
      <c r="B44" s="29">
        <v>0</v>
      </c>
      <c r="C44" s="26">
        <f>AA44</f>
        <v>0</v>
      </c>
      <c r="D44" s="26">
        <f>BM44</f>
        <v>0</v>
      </c>
      <c r="E44" s="26">
        <f>SUM(B44:D44)</f>
        <v>0</v>
      </c>
      <c r="F44" s="26">
        <f>'Con B&amp;S Journals'!E369</f>
        <v>0</v>
      </c>
      <c r="G44" s="26" t="s">
        <v>9</v>
      </c>
      <c r="H44" s="26">
        <f>E44-F44+G44</f>
        <v>0</v>
      </c>
      <c r="I44" s="27"/>
      <c r="J44" s="27"/>
      <c r="K44" s="29" t="s">
        <v>409</v>
      </c>
      <c r="L44" s="26">
        <v>0</v>
      </c>
      <c r="M44" s="26">
        <v>0</v>
      </c>
      <c r="N44" s="26">
        <v>0</v>
      </c>
      <c r="O44" s="26">
        <v>0</v>
      </c>
      <c r="P44" s="281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81">
        <v>0</v>
      </c>
      <c r="X44" s="26">
        <v>0</v>
      </c>
      <c r="Y44" s="26">
        <f>AQ44</f>
        <v>0</v>
      </c>
      <c r="Z44" s="26">
        <f>BD44</f>
        <v>0</v>
      </c>
      <c r="AA44" s="26">
        <f>SUM(L44:Z44)</f>
        <v>0</v>
      </c>
      <c r="AB44" s="27"/>
      <c r="AC44" s="28"/>
      <c r="AD44" s="29" t="s">
        <v>409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f>CG44</f>
        <v>0</v>
      </c>
      <c r="AQ44" s="26">
        <f>SUM(AE44:AP44)</f>
        <v>0</v>
      </c>
      <c r="AR44" s="27"/>
      <c r="AS44" s="28"/>
      <c r="AT44" s="29" t="s">
        <v>409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f>DA44</f>
        <v>0</v>
      </c>
      <c r="BD44" s="26">
        <f>SUM(AU44:BC44)</f>
        <v>0</v>
      </c>
      <c r="BE44" s="27"/>
      <c r="BF44" s="329"/>
      <c r="BG44" s="29" t="s">
        <v>409</v>
      </c>
      <c r="BH44" s="289">
        <v>0</v>
      </c>
      <c r="BI44" s="30">
        <v>0</v>
      </c>
      <c r="BJ44" s="279">
        <v>0</v>
      </c>
      <c r="BK44" s="26"/>
      <c r="BL44" s="26">
        <v>0</v>
      </c>
      <c r="BM44" s="26">
        <f>SUM(BH44:BL44)</f>
        <v>0</v>
      </c>
      <c r="BN44" s="27"/>
      <c r="BO44" s="27"/>
    </row>
    <row r="45" spans="1:67" ht="16.5" customHeight="1">
      <c r="A45" s="376" t="s">
        <v>410</v>
      </c>
      <c r="B45" s="35"/>
      <c r="C45" s="26"/>
      <c r="D45" s="26"/>
      <c r="E45" s="26"/>
      <c r="F45" s="30"/>
      <c r="G45" s="30"/>
      <c r="H45" s="26" t="s">
        <v>9</v>
      </c>
      <c r="I45" s="27"/>
      <c r="J45" s="27"/>
      <c r="K45" s="29" t="s">
        <v>410</v>
      </c>
      <c r="L45" s="30"/>
      <c r="M45" s="26"/>
      <c r="N45" s="26"/>
      <c r="O45" s="26"/>
      <c r="P45" s="289"/>
      <c r="Q45" s="26"/>
      <c r="R45" s="30"/>
      <c r="S45" s="26"/>
      <c r="T45" s="26"/>
      <c r="U45" s="26"/>
      <c r="V45" s="26"/>
      <c r="W45" s="289"/>
      <c r="X45" s="26"/>
      <c r="Y45" s="26"/>
      <c r="Z45" s="26"/>
      <c r="AA45" s="26"/>
      <c r="AB45" s="27"/>
      <c r="AC45" s="28"/>
      <c r="AD45" s="29" t="s">
        <v>410</v>
      </c>
      <c r="AE45" s="30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7"/>
      <c r="AS45" s="28"/>
      <c r="AT45" s="29" t="s">
        <v>410</v>
      </c>
      <c r="AU45" s="30"/>
      <c r="AV45" s="26"/>
      <c r="AW45" s="26"/>
      <c r="AX45" s="26"/>
      <c r="AY45" s="26"/>
      <c r="AZ45" s="26"/>
      <c r="BA45" s="26"/>
      <c r="BB45" s="26"/>
      <c r="BC45" s="26"/>
      <c r="BD45" s="26"/>
      <c r="BE45" s="27"/>
      <c r="BF45" s="329"/>
      <c r="BG45" s="29" t="s">
        <v>410</v>
      </c>
      <c r="BH45" s="289"/>
      <c r="BI45" s="26"/>
      <c r="BJ45" s="279"/>
      <c r="BK45" s="26"/>
      <c r="BL45" s="26"/>
      <c r="BM45" s="26"/>
      <c r="BN45" s="27"/>
      <c r="BO45" s="27"/>
    </row>
    <row r="46" spans="1:67" ht="16.5" customHeight="1">
      <c r="A46" s="376" t="s">
        <v>411</v>
      </c>
      <c r="B46" s="34">
        <v>0</v>
      </c>
      <c r="C46" s="31">
        <f>AA46</f>
        <v>0</v>
      </c>
      <c r="D46" s="31">
        <f>BM46</f>
        <v>0</v>
      </c>
      <c r="E46" s="31">
        <f>SUM(B46:D46)</f>
        <v>0</v>
      </c>
      <c r="F46" s="26" t="s">
        <v>9</v>
      </c>
      <c r="G46" s="26">
        <f>'Con B&amp;S Journals'!F370</f>
        <v>0</v>
      </c>
      <c r="H46" s="31">
        <f>E46+F46-G46</f>
        <v>0</v>
      </c>
      <c r="I46" s="27"/>
      <c r="J46" s="27"/>
      <c r="K46" s="29" t="s">
        <v>411</v>
      </c>
      <c r="L46" s="31">
        <v>0</v>
      </c>
      <c r="M46" s="31">
        <v>0</v>
      </c>
      <c r="N46" s="31">
        <v>0</v>
      </c>
      <c r="O46" s="31">
        <v>0</v>
      </c>
      <c r="P46" s="290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290">
        <v>0</v>
      </c>
      <c r="X46" s="31">
        <v>0</v>
      </c>
      <c r="Y46" s="31">
        <f>AQ46</f>
        <v>0</v>
      </c>
      <c r="Z46" s="31">
        <f>BD46</f>
        <v>0</v>
      </c>
      <c r="AA46" s="31">
        <f>SUM(L46:Z46)</f>
        <v>0</v>
      </c>
      <c r="AB46" s="27"/>
      <c r="AC46" s="28"/>
      <c r="AD46" s="29" t="s">
        <v>411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f>CG46</f>
        <v>0</v>
      </c>
      <c r="AQ46" s="31">
        <f>SUM(AE46:AP46)</f>
        <v>0</v>
      </c>
      <c r="AR46" s="27"/>
      <c r="AS46" s="28"/>
      <c r="AT46" s="29" t="s">
        <v>411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f>DA46</f>
        <v>0</v>
      </c>
      <c r="BD46" s="31">
        <f>SUM(AU46:BC46)</f>
        <v>0</v>
      </c>
      <c r="BE46" s="27"/>
      <c r="BF46" s="329"/>
      <c r="BG46" s="29" t="s">
        <v>411</v>
      </c>
      <c r="BH46" s="290">
        <v>0</v>
      </c>
      <c r="BI46" s="290">
        <v>0</v>
      </c>
      <c r="BJ46" s="290">
        <v>0</v>
      </c>
      <c r="BK46" s="40"/>
      <c r="BL46" s="31">
        <v>0</v>
      </c>
      <c r="BM46" s="31">
        <f>SUM(BH46:BL46)</f>
        <v>0</v>
      </c>
      <c r="BN46" s="27"/>
      <c r="BO46" s="27"/>
    </row>
    <row r="47" spans="1:67" ht="16.5" customHeight="1">
      <c r="A47" s="423"/>
      <c r="B47" s="29">
        <v>0</v>
      </c>
      <c r="C47" s="26">
        <f>C44-C46</f>
        <v>0</v>
      </c>
      <c r="D47" s="26">
        <f>D44-D46</f>
        <v>0</v>
      </c>
      <c r="E47" s="26">
        <f>E44-E46</f>
        <v>0</v>
      </c>
      <c r="F47" s="30"/>
      <c r="G47" s="30"/>
      <c r="H47" s="26">
        <f>H44-H46</f>
        <v>0</v>
      </c>
      <c r="I47" s="27"/>
      <c r="J47" s="27"/>
      <c r="K47" s="35"/>
      <c r="L47" s="26">
        <v>0</v>
      </c>
      <c r="M47" s="26">
        <v>0</v>
      </c>
      <c r="N47" s="26">
        <v>0</v>
      </c>
      <c r="O47" s="26">
        <f>O44-O46</f>
        <v>0</v>
      </c>
      <c r="P47" s="287">
        <v>0</v>
      </c>
      <c r="Q47" s="26">
        <f>Q44-Q46</f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9">
        <v>0</v>
      </c>
      <c r="X47" s="26">
        <f>X44-X46</f>
        <v>0</v>
      </c>
      <c r="Y47" s="26">
        <f>Y44-Y46</f>
        <v>0</v>
      </c>
      <c r="Z47" s="26">
        <f>Z44-Z46</f>
        <v>0</v>
      </c>
      <c r="AA47" s="26">
        <f>AA44-AA46</f>
        <v>0</v>
      </c>
      <c r="AB47" s="27"/>
      <c r="AC47" s="28"/>
      <c r="AD47" s="35"/>
      <c r="AE47" s="26">
        <v>0</v>
      </c>
      <c r="AF47" s="26">
        <v>0</v>
      </c>
      <c r="AG47" s="26">
        <v>0</v>
      </c>
      <c r="AH47" s="26">
        <v>0</v>
      </c>
      <c r="AI47" s="26">
        <f aca="true" t="shared" si="32" ref="AI47:AQ47">AI44-AI46</f>
        <v>0</v>
      </c>
      <c r="AJ47" s="26">
        <f t="shared" si="32"/>
        <v>0</v>
      </c>
      <c r="AK47" s="26">
        <f t="shared" si="32"/>
        <v>0</v>
      </c>
      <c r="AL47" s="26">
        <f t="shared" si="32"/>
        <v>0</v>
      </c>
      <c r="AM47" s="26">
        <v>0</v>
      </c>
      <c r="AN47" s="26">
        <f t="shared" si="32"/>
        <v>0</v>
      </c>
      <c r="AO47" s="26">
        <f t="shared" si="32"/>
        <v>0</v>
      </c>
      <c r="AP47" s="26">
        <f t="shared" si="32"/>
        <v>0</v>
      </c>
      <c r="AQ47" s="26">
        <f t="shared" si="32"/>
        <v>0</v>
      </c>
      <c r="AR47" s="27"/>
      <c r="AS47" s="28"/>
      <c r="AT47" s="35"/>
      <c r="AU47" s="26">
        <v>0</v>
      </c>
      <c r="AV47" s="26">
        <f>AV44-AV46</f>
        <v>0</v>
      </c>
      <c r="AW47" s="26">
        <v>0</v>
      </c>
      <c r="AX47" s="26">
        <v>0</v>
      </c>
      <c r="AY47" s="26">
        <f aca="true" t="shared" si="33" ref="AY47:BD47">AY44-AY46</f>
        <v>0</v>
      </c>
      <c r="AZ47" s="26">
        <f t="shared" si="33"/>
        <v>0</v>
      </c>
      <c r="BA47" s="26">
        <f t="shared" si="33"/>
        <v>0</v>
      </c>
      <c r="BB47" s="26">
        <f t="shared" si="33"/>
        <v>0</v>
      </c>
      <c r="BC47" s="26">
        <f t="shared" si="33"/>
        <v>0</v>
      </c>
      <c r="BD47" s="26">
        <f t="shared" si="33"/>
        <v>0</v>
      </c>
      <c r="BE47" s="27"/>
      <c r="BF47" s="329"/>
      <c r="BG47" s="35"/>
      <c r="BH47" s="29">
        <v>0</v>
      </c>
      <c r="BI47" s="26">
        <v>0</v>
      </c>
      <c r="BJ47" s="26">
        <v>0</v>
      </c>
      <c r="BK47" s="26"/>
      <c r="BL47" s="26">
        <f>BL44-BL46</f>
        <v>0</v>
      </c>
      <c r="BM47" s="26">
        <f>BM44-BM46</f>
        <v>0</v>
      </c>
      <c r="BN47" s="41"/>
      <c r="BO47" s="27"/>
    </row>
    <row r="48" spans="1:69" ht="16.5" customHeight="1">
      <c r="A48" s="376" t="s">
        <v>412</v>
      </c>
      <c r="B48" s="29">
        <v>0</v>
      </c>
      <c r="C48" s="26">
        <f aca="true" t="shared" si="34" ref="C48:C60">AA48</f>
        <v>48210995.55</v>
      </c>
      <c r="D48" s="26">
        <f aca="true" t="shared" si="35" ref="D48:D60">BM48</f>
        <v>4587461.66</v>
      </c>
      <c r="E48" s="26">
        <f aca="true" t="shared" si="36" ref="E48:E60">SUM(B48:D48)</f>
        <v>52798457.20999999</v>
      </c>
      <c r="F48" s="26">
        <f>'Con B&amp;S Journals'!E371</f>
        <v>1514951</v>
      </c>
      <c r="G48" s="26">
        <f>'Con B&amp;S Journals'!F371</f>
        <v>1514951</v>
      </c>
      <c r="H48" s="26">
        <f aca="true" t="shared" si="37" ref="H48:H60">E48-F48+G48</f>
        <v>52798457.20999999</v>
      </c>
      <c r="I48" s="27"/>
      <c r="J48" s="27"/>
      <c r="K48" s="29" t="s">
        <v>412</v>
      </c>
      <c r="L48" s="26">
        <v>115703.5</v>
      </c>
      <c r="M48" s="26">
        <v>139896.4</v>
      </c>
      <c r="N48" s="26">
        <v>0</v>
      </c>
      <c r="O48" s="26">
        <v>0</v>
      </c>
      <c r="P48" s="281">
        <v>3539184.5</v>
      </c>
      <c r="Q48" s="26">
        <f>4122072</f>
        <v>4122072</v>
      </c>
      <c r="R48" s="26">
        <v>19297456.4</v>
      </c>
      <c r="S48" s="26">
        <v>0</v>
      </c>
      <c r="T48" s="26">
        <v>0</v>
      </c>
      <c r="U48" s="26">
        <f>4477710.84+924695.16-2304018.04+106374.29</f>
        <v>3204762.25</v>
      </c>
      <c r="V48" s="26">
        <v>17791920.5</v>
      </c>
      <c r="W48" s="281">
        <v>0</v>
      </c>
      <c r="X48" s="26">
        <v>0</v>
      </c>
      <c r="Y48" s="26">
        <f aca="true" t="shared" si="38" ref="Y48:Y60">AQ48</f>
        <v>0</v>
      </c>
      <c r="Z48" s="26">
        <f aca="true" t="shared" si="39" ref="Z48:Z60">BD48</f>
        <v>0</v>
      </c>
      <c r="AA48" s="26">
        <f aca="true" t="shared" si="40" ref="AA48:AA60">SUM(L48:Z48)</f>
        <v>48210995.55</v>
      </c>
      <c r="AB48" s="27"/>
      <c r="AC48" s="28"/>
      <c r="AD48" s="29" t="s">
        <v>412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f aca="true" t="shared" si="41" ref="AQ48:AQ60">SUM(AE48:AP48)</f>
        <v>0</v>
      </c>
      <c r="AR48" s="27"/>
      <c r="AS48" s="28"/>
      <c r="AT48" s="29" t="s">
        <v>412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f aca="true" t="shared" si="42" ref="BD48:BD60">SUM(AU48:BC48)</f>
        <v>0</v>
      </c>
      <c r="BE48" s="27"/>
      <c r="BF48" s="329"/>
      <c r="BG48" s="29" t="s">
        <v>412</v>
      </c>
      <c r="BH48" s="281">
        <v>302868.66</v>
      </c>
      <c r="BI48" s="26">
        <v>4284593</v>
      </c>
      <c r="BJ48" s="273">
        <v>0</v>
      </c>
      <c r="BK48" s="26"/>
      <c r="BL48" s="26">
        <v>0</v>
      </c>
      <c r="BM48" s="26">
        <f aca="true" t="shared" si="43" ref="BM48:BM60">SUM(BH48:BL48)</f>
        <v>4587461.66</v>
      </c>
      <c r="BN48" s="27"/>
      <c r="BO48" s="27"/>
      <c r="BQ48" s="37"/>
    </row>
    <row r="49" spans="1:69" ht="16.5" customHeight="1">
      <c r="A49" s="376" t="s">
        <v>413</v>
      </c>
      <c r="B49" s="29">
        <f>78461091+2</f>
        <v>78461093</v>
      </c>
      <c r="C49" s="26">
        <f>AA49</f>
        <v>70524607.23999998</v>
      </c>
      <c r="D49" s="26">
        <f>BM49</f>
        <v>18756980.990000002</v>
      </c>
      <c r="E49" s="26">
        <f>SUM(B49:D49)</f>
        <v>167742681.23</v>
      </c>
      <c r="F49" s="26">
        <f>'Con B&amp;S Journals'!E372</f>
        <v>5020000</v>
      </c>
      <c r="G49" s="26">
        <f>'Con B&amp;S Journals'!F372</f>
        <v>0</v>
      </c>
      <c r="H49" s="26">
        <f>E49-F49+G49</f>
        <v>162722681.23</v>
      </c>
      <c r="I49" s="27"/>
      <c r="J49" s="27"/>
      <c r="K49" s="29" t="s">
        <v>413</v>
      </c>
      <c r="L49" s="26">
        <v>2830315.5</v>
      </c>
      <c r="M49" s="26">
        <v>3043395.4</v>
      </c>
      <c r="N49" s="26">
        <v>4213084</v>
      </c>
      <c r="O49" s="26">
        <f>3042538</f>
        <v>3042538</v>
      </c>
      <c r="P49" s="281">
        <v>332501</v>
      </c>
      <c r="Q49" s="26">
        <v>16801.4</v>
      </c>
      <c r="R49" s="26">
        <v>44863815.05</v>
      </c>
      <c r="S49" s="26">
        <f>22885.4</f>
        <v>22885.4</v>
      </c>
      <c r="T49" s="26">
        <v>365194</v>
      </c>
      <c r="U49" s="26">
        <f>555603.04+59897.79</f>
        <v>615500.8300000001</v>
      </c>
      <c r="V49" s="26">
        <f>10797687-1</f>
        <v>10797686</v>
      </c>
      <c r="W49" s="281">
        <v>2000</v>
      </c>
      <c r="X49" s="26">
        <f>225907</f>
        <v>225907</v>
      </c>
      <c r="Y49" s="26">
        <f t="shared" si="38"/>
        <v>131017</v>
      </c>
      <c r="Z49" s="26">
        <f t="shared" si="39"/>
        <v>21966.66</v>
      </c>
      <c r="AA49" s="26">
        <f>SUM(L49:Z49)</f>
        <v>70524607.23999998</v>
      </c>
      <c r="AB49" s="27"/>
      <c r="AC49" s="28"/>
      <c r="AD49" s="29" t="s">
        <v>413</v>
      </c>
      <c r="AE49" s="26">
        <v>9995.6</v>
      </c>
      <c r="AF49" s="26">
        <f>5581</f>
        <v>5581</v>
      </c>
      <c r="AG49" s="26">
        <f>1382.5</f>
        <v>1382.5</v>
      </c>
      <c r="AH49" s="26">
        <v>7581.5</v>
      </c>
      <c r="AI49" s="26">
        <f>4800+400</f>
        <v>5200</v>
      </c>
      <c r="AJ49" s="26">
        <f>4800+400</f>
        <v>5200</v>
      </c>
      <c r="AK49" s="26">
        <v>0</v>
      </c>
      <c r="AL49" s="26">
        <v>0</v>
      </c>
      <c r="AM49" s="26">
        <f>5850+3500</f>
        <v>9350</v>
      </c>
      <c r="AN49" s="26">
        <f>73533.87</f>
        <v>73533.87</v>
      </c>
      <c r="AO49" s="26">
        <f>8742.33+0.2</f>
        <v>8742.53</v>
      </c>
      <c r="AP49" s="26">
        <f>4450</f>
        <v>4450</v>
      </c>
      <c r="AQ49" s="26">
        <f>SUM(AE49:AP49)</f>
        <v>131017</v>
      </c>
      <c r="AR49" s="27"/>
      <c r="AS49" s="28"/>
      <c r="AT49" s="29" t="s">
        <v>413</v>
      </c>
      <c r="AU49" s="26">
        <f>2182.5+1000</f>
        <v>3182.5</v>
      </c>
      <c r="AV49" s="26">
        <v>1682</v>
      </c>
      <c r="AW49" s="26">
        <v>1382.5</v>
      </c>
      <c r="AX49" s="26">
        <v>1000</v>
      </c>
      <c r="AY49" s="26">
        <v>2382.5</v>
      </c>
      <c r="AZ49" s="26">
        <v>2000</v>
      </c>
      <c r="BA49" s="26">
        <f>2183</f>
        <v>2183</v>
      </c>
      <c r="BB49" s="26">
        <f>1383</f>
        <v>1383</v>
      </c>
      <c r="BC49" s="26">
        <f>6771.16</f>
        <v>6771.16</v>
      </c>
      <c r="BD49" s="26">
        <f t="shared" si="42"/>
        <v>21966.66</v>
      </c>
      <c r="BE49" s="27"/>
      <c r="BF49" s="329"/>
      <c r="BG49" s="29" t="s">
        <v>413</v>
      </c>
      <c r="BH49" s="281">
        <f>174752.75+1093487.05</f>
        <v>1268239.8</v>
      </c>
      <c r="BI49" s="26">
        <f>404933</f>
        <v>404933</v>
      </c>
      <c r="BJ49" s="281">
        <f>17083808.19</f>
        <v>17083808.19</v>
      </c>
      <c r="BK49" s="26"/>
      <c r="BL49" s="26">
        <v>0</v>
      </c>
      <c r="BM49" s="26">
        <f>SUM(BH49:BL49)</f>
        <v>18756980.990000002</v>
      </c>
      <c r="BN49" s="27"/>
      <c r="BO49" s="27"/>
      <c r="BQ49" s="37"/>
    </row>
    <row r="50" spans="1:69" ht="16.5" customHeight="1">
      <c r="A50" s="376" t="s">
        <v>414</v>
      </c>
      <c r="B50" s="29">
        <v>375970907</v>
      </c>
      <c r="C50" s="26">
        <f>AA50</f>
        <v>254886671.5</v>
      </c>
      <c r="D50" s="26">
        <f>BM50</f>
        <v>69231830.34</v>
      </c>
      <c r="E50" s="26">
        <f>SUM(B50:D50)</f>
        <v>700089408.84</v>
      </c>
      <c r="F50" s="26"/>
      <c r="G50" s="26"/>
      <c r="H50" s="26">
        <f>E50-F50+G50</f>
        <v>700089408.84</v>
      </c>
      <c r="I50" s="27"/>
      <c r="J50" s="27"/>
      <c r="K50" s="29" t="s">
        <v>414</v>
      </c>
      <c r="L50" s="26">
        <v>0</v>
      </c>
      <c r="M50" s="26">
        <v>0</v>
      </c>
      <c r="N50" s="26">
        <f>66200000+14883333</f>
        <v>81083333</v>
      </c>
      <c r="O50" s="26">
        <v>0</v>
      </c>
      <c r="P50" s="281">
        <v>0</v>
      </c>
      <c r="Q50" s="26">
        <v>0</v>
      </c>
      <c r="R50" s="26">
        <v>116669877</v>
      </c>
      <c r="S50" s="26">
        <v>0</v>
      </c>
      <c r="T50" s="26">
        <v>0</v>
      </c>
      <c r="U50" s="26">
        <v>0</v>
      </c>
      <c r="V50" s="26">
        <v>54300145.5</v>
      </c>
      <c r="W50" s="281">
        <v>0</v>
      </c>
      <c r="X50" s="26">
        <v>0</v>
      </c>
      <c r="Y50" s="26">
        <f>AQ50</f>
        <v>2833316</v>
      </c>
      <c r="Z50" s="26">
        <f t="shared" si="39"/>
        <v>0</v>
      </c>
      <c r="AA50" s="26">
        <f t="shared" si="40"/>
        <v>254886671.5</v>
      </c>
      <c r="AB50" s="27"/>
      <c r="AC50" s="28"/>
      <c r="AD50" s="29" t="s">
        <v>414</v>
      </c>
      <c r="AE50" s="26">
        <v>0</v>
      </c>
      <c r="AF50" s="26">
        <v>0</v>
      </c>
      <c r="AG50" s="26">
        <v>0</v>
      </c>
      <c r="AH50" s="26">
        <v>2833316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f t="shared" si="41"/>
        <v>2833316</v>
      </c>
      <c r="AR50" s="27"/>
      <c r="AS50" s="28"/>
      <c r="AT50" s="29" t="s">
        <v>414</v>
      </c>
      <c r="AU50" s="26">
        <v>0</v>
      </c>
      <c r="AV50" s="26"/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f t="shared" si="42"/>
        <v>0</v>
      </c>
      <c r="BE50" s="27"/>
      <c r="BF50" s="329"/>
      <c r="BG50" s="29" t="s">
        <v>414</v>
      </c>
      <c r="BH50" s="281">
        <f>154462+22500</f>
        <v>176962</v>
      </c>
      <c r="BI50" s="26">
        <f>122862+161067</f>
        <v>283929</v>
      </c>
      <c r="BJ50" s="273">
        <v>68770939.34</v>
      </c>
      <c r="BK50" s="26"/>
      <c r="BL50" s="26">
        <v>0</v>
      </c>
      <c r="BM50" s="26">
        <f>SUM(BH50:BL50)</f>
        <v>69231830.34</v>
      </c>
      <c r="BN50" s="27"/>
      <c r="BO50" s="27"/>
      <c r="BQ50" s="37"/>
    </row>
    <row r="51" spans="1:67" ht="16.5" customHeight="1">
      <c r="A51" s="376" t="s">
        <v>415</v>
      </c>
      <c r="B51" s="29">
        <v>0</v>
      </c>
      <c r="C51" s="26">
        <f t="shared" si="34"/>
        <v>406149.5</v>
      </c>
      <c r="D51" s="26">
        <f t="shared" si="35"/>
        <v>40386</v>
      </c>
      <c r="E51" s="26">
        <f t="shared" si="36"/>
        <v>446535.5</v>
      </c>
      <c r="F51" s="30"/>
      <c r="G51" s="30"/>
      <c r="H51" s="26">
        <f t="shared" si="37"/>
        <v>446535.5</v>
      </c>
      <c r="I51" s="27"/>
      <c r="J51" s="27"/>
      <c r="K51" s="29" t="s">
        <v>415</v>
      </c>
      <c r="L51" s="26">
        <v>0</v>
      </c>
      <c r="M51" s="26">
        <v>25344</v>
      </c>
      <c r="N51" s="26"/>
      <c r="O51" s="26">
        <v>0</v>
      </c>
      <c r="P51" s="281">
        <v>0</v>
      </c>
      <c r="Q51" s="26">
        <v>0</v>
      </c>
      <c r="R51" s="26">
        <v>54213</v>
      </c>
      <c r="S51" s="26">
        <v>0</v>
      </c>
      <c r="T51" s="26">
        <v>0</v>
      </c>
      <c r="U51" s="26">
        <v>-3185</v>
      </c>
      <c r="V51" s="26">
        <v>329777.5</v>
      </c>
      <c r="W51" s="281">
        <v>0</v>
      </c>
      <c r="X51" s="26">
        <v>0</v>
      </c>
      <c r="Y51" s="26">
        <f t="shared" si="38"/>
        <v>0</v>
      </c>
      <c r="Z51" s="26">
        <f t="shared" si="39"/>
        <v>0</v>
      </c>
      <c r="AA51" s="26">
        <f t="shared" si="40"/>
        <v>406149.5</v>
      </c>
      <c r="AB51" s="27"/>
      <c r="AC51" s="28"/>
      <c r="AD51" s="29" t="s">
        <v>415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f t="shared" si="41"/>
        <v>0</v>
      </c>
      <c r="AR51" s="27"/>
      <c r="AS51" s="28"/>
      <c r="AT51" s="29" t="s">
        <v>415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f t="shared" si="42"/>
        <v>0</v>
      </c>
      <c r="BE51" s="27"/>
      <c r="BF51" s="329"/>
      <c r="BG51" s="29" t="s">
        <v>415</v>
      </c>
      <c r="BH51" s="281">
        <f>40386</f>
        <v>40386</v>
      </c>
      <c r="BI51" s="26">
        <v>0</v>
      </c>
      <c r="BJ51" s="273">
        <v>0</v>
      </c>
      <c r="BK51" s="26"/>
      <c r="BL51" s="26">
        <v>0</v>
      </c>
      <c r="BM51" s="26">
        <f t="shared" si="43"/>
        <v>40386</v>
      </c>
      <c r="BN51" s="27"/>
      <c r="BO51" s="27"/>
    </row>
    <row r="52" spans="1:69" ht="16.5" customHeight="1">
      <c r="A52" s="376" t="s">
        <v>732</v>
      </c>
      <c r="B52" s="29">
        <v>0</v>
      </c>
      <c r="C52" s="26">
        <f t="shared" si="34"/>
        <v>514822281.46</v>
      </c>
      <c r="D52" s="26">
        <f t="shared" si="35"/>
        <v>20636100.98</v>
      </c>
      <c r="E52" s="26">
        <f t="shared" si="36"/>
        <v>535458382.44</v>
      </c>
      <c r="F52" s="26">
        <f>'Con B&amp;S Journals'!E373</f>
        <v>535458382.44</v>
      </c>
      <c r="G52" s="26"/>
      <c r="H52" s="26">
        <f t="shared" si="37"/>
        <v>0</v>
      </c>
      <c r="I52" s="640" t="str">
        <f>IF(H52=0,"Ultimate OK","WRONG")</f>
        <v>Ultimate OK</v>
      </c>
      <c r="J52" s="27"/>
      <c r="K52" s="29" t="s">
        <v>417</v>
      </c>
      <c r="L52" s="26">
        <v>-8398001</v>
      </c>
      <c r="M52" s="26">
        <v>129701912</v>
      </c>
      <c r="N52" s="305">
        <v>2749982</v>
      </c>
      <c r="O52" s="30">
        <v>15043657</v>
      </c>
      <c r="P52" s="281">
        <v>8149538</v>
      </c>
      <c r="Q52" s="26">
        <v>1591650</v>
      </c>
      <c r="R52" s="26">
        <v>171990036</v>
      </c>
      <c r="S52" s="26">
        <f>1477116.14+7459.2</f>
        <v>1484575.3399999999</v>
      </c>
      <c r="T52" s="305">
        <f>1400377+4892762</f>
        <v>6293139</v>
      </c>
      <c r="U52" s="26">
        <v>0</v>
      </c>
      <c r="V52" s="26">
        <v>96174370.5</v>
      </c>
      <c r="W52" s="281">
        <v>39306314.6</v>
      </c>
      <c r="X52" s="26">
        <v>0</v>
      </c>
      <c r="Y52" s="26">
        <f t="shared" si="38"/>
        <v>43172239.01</v>
      </c>
      <c r="Z52" s="26">
        <f t="shared" si="39"/>
        <v>7562869.010000001</v>
      </c>
      <c r="AA52" s="26">
        <f t="shared" si="40"/>
        <v>514822281.46</v>
      </c>
      <c r="AB52" s="27"/>
      <c r="AC52" s="28"/>
      <c r="AD52" s="29" t="s">
        <v>417</v>
      </c>
      <c r="AE52" s="26">
        <v>145834.02</v>
      </c>
      <c r="AF52" s="26">
        <v>8241.9</v>
      </c>
      <c r="AG52" s="26">
        <v>14020789.35</v>
      </c>
      <c r="AH52" s="26">
        <v>5650550.7</v>
      </c>
      <c r="AI52" s="30">
        <v>0</v>
      </c>
      <c r="AJ52" s="26">
        <v>0</v>
      </c>
      <c r="AK52" s="26">
        <f>10642.5</f>
        <v>10642.5</v>
      </c>
      <c r="AL52" s="26">
        <v>10642.5</v>
      </c>
      <c r="AM52" s="26">
        <v>1109505.3</v>
      </c>
      <c r="AN52" s="26">
        <v>4169798.41</v>
      </c>
      <c r="AO52" s="26">
        <v>1152897</v>
      </c>
      <c r="AP52" s="26">
        <v>16893337.33</v>
      </c>
      <c r="AQ52" s="26">
        <f t="shared" si="41"/>
        <v>43172239.01</v>
      </c>
      <c r="AR52" s="27"/>
      <c r="AS52" s="28"/>
      <c r="AT52" s="29" t="s">
        <v>417</v>
      </c>
      <c r="AU52" s="26">
        <v>5398872.91</v>
      </c>
      <c r="AV52" s="26">
        <v>0</v>
      </c>
      <c r="AW52" s="26">
        <v>1510481.2</v>
      </c>
      <c r="AX52" s="26">
        <v>9860.9</v>
      </c>
      <c r="AY52" s="30">
        <v>38287</v>
      </c>
      <c r="AZ52" s="26">
        <v>593591</v>
      </c>
      <c r="BA52" s="26">
        <v>5289</v>
      </c>
      <c r="BB52" s="26">
        <v>6487</v>
      </c>
      <c r="BC52" s="26">
        <v>0</v>
      </c>
      <c r="BD52" s="26">
        <f t="shared" si="42"/>
        <v>7562869.010000001</v>
      </c>
      <c r="BE52" s="27"/>
      <c r="BF52" s="329"/>
      <c r="BG52" s="29" t="s">
        <v>417</v>
      </c>
      <c r="BH52" s="281">
        <f>4074299.36+205000</f>
        <v>4279299.359999999</v>
      </c>
      <c r="BI52" s="26">
        <v>2748241.73</v>
      </c>
      <c r="BJ52" s="273">
        <v>13608559.89</v>
      </c>
      <c r="BK52" s="26"/>
      <c r="BL52" s="26">
        <v>0</v>
      </c>
      <c r="BM52" s="26">
        <f t="shared" si="43"/>
        <v>20636100.98</v>
      </c>
      <c r="BN52" s="27"/>
      <c r="BO52" s="27"/>
      <c r="BQ52" s="37"/>
    </row>
    <row r="53" spans="1:69" ht="16.5" customHeight="1">
      <c r="A53" s="376" t="s">
        <v>733</v>
      </c>
      <c r="B53" s="29">
        <v>0</v>
      </c>
      <c r="C53" s="26">
        <f>AA53</f>
        <v>0</v>
      </c>
      <c r="D53" s="26">
        <f>BM53</f>
        <v>0</v>
      </c>
      <c r="E53" s="26">
        <f t="shared" si="36"/>
        <v>0</v>
      </c>
      <c r="F53" s="26"/>
      <c r="G53" s="26"/>
      <c r="H53" s="26">
        <f t="shared" si="37"/>
        <v>0</v>
      </c>
      <c r="I53" s="640" t="str">
        <f>IF(H53=0,"Holding OK","WRONG")</f>
        <v>Holding OK</v>
      </c>
      <c r="J53" s="27"/>
      <c r="K53" s="29" t="s">
        <v>732</v>
      </c>
      <c r="L53" s="26"/>
      <c r="M53" s="26"/>
      <c r="N53" s="26">
        <v>0</v>
      </c>
      <c r="O53" s="30"/>
      <c r="P53" s="281"/>
      <c r="Q53" s="26"/>
      <c r="R53" s="26">
        <v>0</v>
      </c>
      <c r="S53" s="26"/>
      <c r="T53" s="305">
        <v>0</v>
      </c>
      <c r="U53" s="26"/>
      <c r="V53" s="26">
        <v>0</v>
      </c>
      <c r="W53" s="281"/>
      <c r="X53" s="26"/>
      <c r="Y53" s="26">
        <f>AQ53</f>
        <v>0</v>
      </c>
      <c r="Z53" s="26">
        <f>BD53</f>
        <v>0</v>
      </c>
      <c r="AA53" s="26">
        <f t="shared" si="40"/>
        <v>0</v>
      </c>
      <c r="AB53" s="27"/>
      <c r="AC53" s="28"/>
      <c r="AD53" s="29" t="s">
        <v>732</v>
      </c>
      <c r="AE53" s="26">
        <f>145834-145834</f>
        <v>0</v>
      </c>
      <c r="AF53" s="26"/>
      <c r="AG53" s="26"/>
      <c r="AH53" s="26"/>
      <c r="AI53" s="30"/>
      <c r="AJ53" s="26"/>
      <c r="AK53" s="26"/>
      <c r="AL53" s="26"/>
      <c r="AM53" s="26"/>
      <c r="AN53" s="26">
        <f>4169798.41-4169798.41</f>
        <v>0</v>
      </c>
      <c r="AO53" s="26">
        <f>1152897.2-1152897.2</f>
        <v>0</v>
      </c>
      <c r="AP53" s="26"/>
      <c r="AQ53" s="26">
        <f t="shared" si="41"/>
        <v>0</v>
      </c>
      <c r="AR53" s="27"/>
      <c r="AS53" s="28"/>
      <c r="AT53" s="29" t="s">
        <v>732</v>
      </c>
      <c r="AU53" s="26"/>
      <c r="AV53" s="26">
        <v>0</v>
      </c>
      <c r="AW53" s="26"/>
      <c r="AX53" s="26"/>
      <c r="AY53" s="30"/>
      <c r="AZ53" s="26"/>
      <c r="BA53" s="26"/>
      <c r="BB53" s="26"/>
      <c r="BC53" s="26"/>
      <c r="BD53" s="26">
        <f t="shared" si="42"/>
        <v>0</v>
      </c>
      <c r="BE53" s="27"/>
      <c r="BF53" s="329"/>
      <c r="BG53" s="29" t="s">
        <v>732</v>
      </c>
      <c r="BH53" s="281">
        <v>0</v>
      </c>
      <c r="BI53" s="26"/>
      <c r="BJ53" s="273">
        <f>13608560-13608560</f>
        <v>0</v>
      </c>
      <c r="BK53" s="26"/>
      <c r="BL53" s="26"/>
      <c r="BM53" s="26">
        <f t="shared" si="43"/>
        <v>0</v>
      </c>
      <c r="BN53" s="27"/>
      <c r="BO53" s="27"/>
      <c r="BQ53" s="37"/>
    </row>
    <row r="54" spans="1:67" ht="16.5" customHeight="1">
      <c r="A54" s="376" t="s">
        <v>433</v>
      </c>
      <c r="B54" s="29">
        <v>0</v>
      </c>
      <c r="C54" s="26">
        <f t="shared" si="34"/>
        <v>391878</v>
      </c>
      <c r="D54" s="26">
        <f t="shared" si="35"/>
        <v>0</v>
      </c>
      <c r="E54" s="26">
        <f t="shared" si="36"/>
        <v>391878</v>
      </c>
      <c r="F54" s="26">
        <f>'Con B&amp;S Journals'!E374</f>
        <v>391878</v>
      </c>
      <c r="G54" s="26"/>
      <c r="H54" s="26">
        <f t="shared" si="37"/>
        <v>0</v>
      </c>
      <c r="I54" s="640" t="str">
        <f>IF(H54=0,"Subsi OK","WRONG")</f>
        <v>Subsi OK</v>
      </c>
      <c r="J54" s="27"/>
      <c r="K54" s="29" t="s">
        <v>433</v>
      </c>
      <c r="L54" s="26">
        <v>0</v>
      </c>
      <c r="M54" s="26">
        <v>0</v>
      </c>
      <c r="N54" s="26">
        <v>0</v>
      </c>
      <c r="O54" s="26">
        <v>0</v>
      </c>
      <c r="P54" s="281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391878</v>
      </c>
      <c r="W54" s="281">
        <v>0</v>
      </c>
      <c r="X54" s="26">
        <v>0</v>
      </c>
      <c r="Y54" s="26">
        <f t="shared" si="38"/>
        <v>0</v>
      </c>
      <c r="Z54" s="26">
        <f t="shared" si="39"/>
        <v>0</v>
      </c>
      <c r="AA54" s="26">
        <f t="shared" si="40"/>
        <v>391878</v>
      </c>
      <c r="AB54" s="27"/>
      <c r="AC54" s="28"/>
      <c r="AD54" s="29" t="s">
        <v>433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f t="shared" si="41"/>
        <v>0</v>
      </c>
      <c r="AR54" s="27"/>
      <c r="AS54" s="28"/>
      <c r="AT54" s="29" t="s">
        <v>433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f t="shared" si="42"/>
        <v>0</v>
      </c>
      <c r="BE54" s="27"/>
      <c r="BF54" s="329"/>
      <c r="BG54" s="29" t="s">
        <v>433</v>
      </c>
      <c r="BH54" s="281">
        <v>0</v>
      </c>
      <c r="BI54" s="26">
        <v>0</v>
      </c>
      <c r="BJ54" s="273">
        <v>0</v>
      </c>
      <c r="BK54" s="26"/>
      <c r="BL54" s="26">
        <v>0</v>
      </c>
      <c r="BM54" s="26">
        <f t="shared" si="43"/>
        <v>0</v>
      </c>
      <c r="BN54" s="27"/>
      <c r="BO54" s="27"/>
    </row>
    <row r="55" spans="1:69" ht="16.5" customHeight="1">
      <c r="A55" s="376" t="s">
        <v>434</v>
      </c>
      <c r="B55" s="29">
        <v>0</v>
      </c>
      <c r="C55" s="26">
        <f t="shared" si="34"/>
        <v>8710104.850000001</v>
      </c>
      <c r="D55" s="26">
        <f t="shared" si="35"/>
        <v>18221.1</v>
      </c>
      <c r="E55" s="26">
        <f t="shared" si="36"/>
        <v>8728325.950000001</v>
      </c>
      <c r="F55" s="26">
        <f>'Con B&amp;S Journals'!E375</f>
        <v>8728325.950000001</v>
      </c>
      <c r="G55" s="26"/>
      <c r="H55" s="26">
        <f t="shared" si="37"/>
        <v>0</v>
      </c>
      <c r="I55" s="640" t="str">
        <f>IF(H55=0,"Related OK","WRONG")</f>
        <v>Related OK</v>
      </c>
      <c r="J55" s="27"/>
      <c r="K55" s="29" t="s">
        <v>434</v>
      </c>
      <c r="L55" s="26">
        <v>0</v>
      </c>
      <c r="M55" s="26">
        <v>0</v>
      </c>
      <c r="N55" s="26">
        <v>0</v>
      </c>
      <c r="O55" s="30">
        <v>11960</v>
      </c>
      <c r="P55" s="281">
        <v>750251.5</v>
      </c>
      <c r="Q55" s="26">
        <v>1001972</v>
      </c>
      <c r="R55" s="26">
        <f>28026+6835575.05</f>
        <v>6863601.05</v>
      </c>
      <c r="S55" s="26">
        <v>0</v>
      </c>
      <c r="T55" s="26">
        <v>0</v>
      </c>
      <c r="U55" s="26">
        <v>0</v>
      </c>
      <c r="V55" s="26">
        <v>0</v>
      </c>
      <c r="W55" s="281">
        <v>0</v>
      </c>
      <c r="X55" s="26">
        <v>60000</v>
      </c>
      <c r="Y55" s="26">
        <f t="shared" si="38"/>
        <v>22320.3</v>
      </c>
      <c r="Z55" s="26">
        <f t="shared" si="39"/>
        <v>0</v>
      </c>
      <c r="AA55" s="26">
        <f t="shared" si="40"/>
        <v>8710104.850000001</v>
      </c>
      <c r="AB55" s="27"/>
      <c r="AC55" s="28"/>
      <c r="AD55" s="29" t="s">
        <v>434</v>
      </c>
      <c r="AE55" s="26">
        <v>0</v>
      </c>
      <c r="AF55" s="26">
        <v>0</v>
      </c>
      <c r="AG55" s="26">
        <v>0</v>
      </c>
      <c r="AH55" s="26">
        <v>0</v>
      </c>
      <c r="AI55" s="30">
        <v>0</v>
      </c>
      <c r="AJ55" s="26">
        <v>0</v>
      </c>
      <c r="AK55" s="26">
        <v>0</v>
      </c>
      <c r="AL55" s="26">
        <v>0</v>
      </c>
      <c r="AM55" s="26">
        <v>22320.3</v>
      </c>
      <c r="AN55" s="26">
        <v>0</v>
      </c>
      <c r="AO55" s="26">
        <v>0</v>
      </c>
      <c r="AP55" s="26">
        <v>0</v>
      </c>
      <c r="AQ55" s="26">
        <f t="shared" si="41"/>
        <v>22320.3</v>
      </c>
      <c r="AR55" s="27"/>
      <c r="AS55" s="28"/>
      <c r="AT55" s="29" t="s">
        <v>434</v>
      </c>
      <c r="AU55" s="26">
        <v>0</v>
      </c>
      <c r="AV55" s="26">
        <v>0</v>
      </c>
      <c r="AW55" s="26">
        <v>0</v>
      </c>
      <c r="AX55" s="26">
        <v>0</v>
      </c>
      <c r="AY55" s="30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f t="shared" si="42"/>
        <v>0</v>
      </c>
      <c r="BE55" s="27"/>
      <c r="BF55" s="329"/>
      <c r="BG55" s="29" t="s">
        <v>434</v>
      </c>
      <c r="BH55" s="281">
        <v>18221.1</v>
      </c>
      <c r="BI55" s="26">
        <v>0</v>
      </c>
      <c r="BJ55" s="273">
        <v>0</v>
      </c>
      <c r="BK55" s="26"/>
      <c r="BL55" s="26">
        <v>0</v>
      </c>
      <c r="BM55" s="26">
        <f t="shared" si="43"/>
        <v>18221.1</v>
      </c>
      <c r="BN55" s="27"/>
      <c r="BO55" s="27"/>
      <c r="BQ55" s="37"/>
    </row>
    <row r="56" spans="1:67" ht="16.5" customHeight="1">
      <c r="A56" s="376" t="s">
        <v>435</v>
      </c>
      <c r="B56" s="29">
        <v>0</v>
      </c>
      <c r="C56" s="26">
        <f t="shared" si="34"/>
        <v>0</v>
      </c>
      <c r="D56" s="26">
        <f t="shared" si="35"/>
        <v>625492</v>
      </c>
      <c r="E56" s="26">
        <f t="shared" si="36"/>
        <v>625492</v>
      </c>
      <c r="F56" s="26">
        <v>0</v>
      </c>
      <c r="G56" s="26">
        <f>'Con B&amp;S Journals'!F374</f>
        <v>0</v>
      </c>
      <c r="H56" s="26">
        <f t="shared" si="37"/>
        <v>625492</v>
      </c>
      <c r="I56" s="27"/>
      <c r="J56" s="27"/>
      <c r="K56" s="29" t="s">
        <v>435</v>
      </c>
      <c r="L56" s="26">
        <v>0</v>
      </c>
      <c r="M56" s="26">
        <v>0</v>
      </c>
      <c r="N56" s="26">
        <v>0</v>
      </c>
      <c r="O56" s="30">
        <v>0</v>
      </c>
      <c r="P56" s="281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81">
        <v>0</v>
      </c>
      <c r="X56" s="26">
        <v>0</v>
      </c>
      <c r="Y56" s="26">
        <f t="shared" si="38"/>
        <v>0</v>
      </c>
      <c r="Z56" s="26">
        <f t="shared" si="39"/>
        <v>0</v>
      </c>
      <c r="AA56" s="26">
        <f t="shared" si="40"/>
        <v>0</v>
      </c>
      <c r="AB56" s="27"/>
      <c r="AC56" s="28"/>
      <c r="AD56" s="29" t="s">
        <v>435</v>
      </c>
      <c r="AE56" s="26">
        <v>0</v>
      </c>
      <c r="AF56" s="26">
        <v>0</v>
      </c>
      <c r="AG56" s="26">
        <v>0</v>
      </c>
      <c r="AH56" s="26">
        <v>0</v>
      </c>
      <c r="AI56" s="30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f t="shared" si="41"/>
        <v>0</v>
      </c>
      <c r="AR56" s="27"/>
      <c r="AS56" s="28"/>
      <c r="AT56" s="29" t="s">
        <v>435</v>
      </c>
      <c r="AU56" s="26">
        <v>0</v>
      </c>
      <c r="AV56" s="26">
        <v>0</v>
      </c>
      <c r="AW56" s="26">
        <v>0</v>
      </c>
      <c r="AX56" s="26">
        <v>0</v>
      </c>
      <c r="AY56" s="30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f t="shared" si="42"/>
        <v>0</v>
      </c>
      <c r="BE56" s="27"/>
      <c r="BF56" s="329"/>
      <c r="BG56" s="29" t="s">
        <v>435</v>
      </c>
      <c r="BH56" s="281">
        <v>0</v>
      </c>
      <c r="BI56" s="26">
        <f>554880+70612</f>
        <v>625492</v>
      </c>
      <c r="BJ56" s="273">
        <v>0</v>
      </c>
      <c r="BK56" s="26"/>
      <c r="BL56" s="26">
        <v>0</v>
      </c>
      <c r="BM56" s="26">
        <f t="shared" si="43"/>
        <v>625492</v>
      </c>
      <c r="BN56" s="27"/>
      <c r="BO56" s="27"/>
    </row>
    <row r="57" spans="1:67" ht="16.5" customHeight="1">
      <c r="A57" s="376" t="s">
        <v>436</v>
      </c>
      <c r="B57" s="29">
        <v>0</v>
      </c>
      <c r="C57" s="26">
        <f>AA57</f>
        <v>8223</v>
      </c>
      <c r="D57" s="26">
        <f>BM57</f>
        <v>152446.84</v>
      </c>
      <c r="E57" s="26">
        <f>SUM(B57:D57)</f>
        <v>160669.84</v>
      </c>
      <c r="F57" s="30"/>
      <c r="G57" s="30"/>
      <c r="H57" s="26">
        <f>E57-F57+G57</f>
        <v>160669.84</v>
      </c>
      <c r="I57" s="27"/>
      <c r="J57" s="27"/>
      <c r="K57" s="29" t="s">
        <v>436</v>
      </c>
      <c r="L57" s="26">
        <v>0</v>
      </c>
      <c r="M57" s="26">
        <v>0</v>
      </c>
      <c r="N57" s="26">
        <v>0</v>
      </c>
      <c r="O57" s="26">
        <v>0</v>
      </c>
      <c r="P57" s="281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81">
        <v>0</v>
      </c>
      <c r="X57" s="26">
        <v>0</v>
      </c>
      <c r="Y57" s="26">
        <f t="shared" si="38"/>
        <v>0</v>
      </c>
      <c r="Z57" s="26">
        <f t="shared" si="39"/>
        <v>8223</v>
      </c>
      <c r="AA57" s="26">
        <f t="shared" si="40"/>
        <v>8223</v>
      </c>
      <c r="AB57" s="27"/>
      <c r="AC57" s="28"/>
      <c r="AD57" s="29" t="s">
        <v>436</v>
      </c>
      <c r="AE57" s="26">
        <v>0</v>
      </c>
      <c r="AF57" s="26">
        <v>0</v>
      </c>
      <c r="AG57" s="26">
        <v>0</v>
      </c>
      <c r="AH57" s="30">
        <v>0</v>
      </c>
      <c r="AI57" s="26">
        <v>0</v>
      </c>
      <c r="AJ57" s="26">
        <v>0</v>
      </c>
      <c r="AK57" s="26">
        <v>0</v>
      </c>
      <c r="AL57" s="26">
        <v>0</v>
      </c>
      <c r="AM57" s="30">
        <v>0</v>
      </c>
      <c r="AN57" s="26">
        <v>0</v>
      </c>
      <c r="AO57" s="26">
        <v>0</v>
      </c>
      <c r="AP57" s="26">
        <v>0</v>
      </c>
      <c r="AQ57" s="26">
        <f t="shared" si="41"/>
        <v>0</v>
      </c>
      <c r="AR57" s="27"/>
      <c r="AS57" s="28"/>
      <c r="AT57" s="29" t="s">
        <v>436</v>
      </c>
      <c r="AU57" s="26">
        <v>0</v>
      </c>
      <c r="AV57" s="26">
        <v>8223</v>
      </c>
      <c r="AW57" s="26">
        <v>0</v>
      </c>
      <c r="AX57" s="30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f t="shared" si="42"/>
        <v>8223</v>
      </c>
      <c r="BE57" s="27"/>
      <c r="BF57" s="329"/>
      <c r="BG57" s="29" t="s">
        <v>436</v>
      </c>
      <c r="BH57" s="281">
        <v>152446.84</v>
      </c>
      <c r="BI57" s="26">
        <v>0</v>
      </c>
      <c r="BJ57" s="273">
        <v>0</v>
      </c>
      <c r="BK57" s="26"/>
      <c r="BL57" s="26">
        <v>0</v>
      </c>
      <c r="BM57" s="26">
        <f>SUM(BH57:BL57)</f>
        <v>152446.84</v>
      </c>
      <c r="BN57" s="27"/>
      <c r="BO57" s="27"/>
    </row>
    <row r="58" spans="1:67" ht="16.5" customHeight="1">
      <c r="A58" s="376" t="s">
        <v>437</v>
      </c>
      <c r="B58" s="29">
        <v>1705667.22</v>
      </c>
      <c r="C58" s="26">
        <f>AA58</f>
        <v>15094479.030000001</v>
      </c>
      <c r="D58" s="26">
        <f t="shared" si="35"/>
        <v>4406.1</v>
      </c>
      <c r="E58" s="26">
        <f t="shared" si="36"/>
        <v>16804552.35</v>
      </c>
      <c r="F58" s="26">
        <f>'Con B&amp;S Journals'!E382</f>
        <v>0</v>
      </c>
      <c r="G58" s="26">
        <f>'Con B&amp;S Journals'!F382</f>
        <v>0</v>
      </c>
      <c r="H58" s="26">
        <f t="shared" si="37"/>
        <v>16804552.35</v>
      </c>
      <c r="I58" s="27"/>
      <c r="J58" s="27"/>
      <c r="K58" s="29" t="s">
        <v>437</v>
      </c>
      <c r="L58" s="26">
        <f>1240123.5+816863+141487.75</f>
        <v>2198474.25</v>
      </c>
      <c r="M58" s="26">
        <f>1404066+1227675+234081.4</f>
        <v>2865822.4</v>
      </c>
      <c r="N58" s="26">
        <v>7630</v>
      </c>
      <c r="O58" s="26">
        <v>9450</v>
      </c>
      <c r="P58" s="281">
        <v>88724</v>
      </c>
      <c r="Q58" s="26">
        <v>1496</v>
      </c>
      <c r="R58" s="26">
        <v>5738000</v>
      </c>
      <c r="S58" s="26">
        <v>4219</v>
      </c>
      <c r="T58" s="26">
        <v>0</v>
      </c>
      <c r="U58" s="26">
        <v>419106.38</v>
      </c>
      <c r="V58" s="26">
        <v>3746249</v>
      </c>
      <c r="W58" s="281">
        <v>0</v>
      </c>
      <c r="X58" s="26">
        <f>'Con P&amp;L'!Y23</f>
        <v>0</v>
      </c>
      <c r="Y58" s="26">
        <f t="shared" si="38"/>
        <v>15235</v>
      </c>
      <c r="Z58" s="26">
        <f t="shared" si="39"/>
        <v>73</v>
      </c>
      <c r="AA58" s="26">
        <f t="shared" si="40"/>
        <v>15094479.030000001</v>
      </c>
      <c r="AB58" s="27"/>
      <c r="AC58" s="28"/>
      <c r="AD58" s="29" t="s">
        <v>437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15235</v>
      </c>
      <c r="AO58" s="26">
        <v>0</v>
      </c>
      <c r="AP58" s="26">
        <v>0</v>
      </c>
      <c r="AQ58" s="26">
        <f t="shared" si="41"/>
        <v>15235</v>
      </c>
      <c r="AR58" s="27"/>
      <c r="AS58" s="28"/>
      <c r="AT58" s="29" t="s">
        <v>437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73</v>
      </c>
      <c r="BD58" s="26">
        <f t="shared" si="42"/>
        <v>73</v>
      </c>
      <c r="BE58" s="27"/>
      <c r="BF58" s="329"/>
      <c r="BG58" s="29" t="s">
        <v>437</v>
      </c>
      <c r="BH58" s="281">
        <v>0</v>
      </c>
      <c r="BI58" s="26">
        <v>2139.5</v>
      </c>
      <c r="BJ58" s="273">
        <v>2266.6</v>
      </c>
      <c r="BK58" s="26"/>
      <c r="BL58" s="26">
        <v>0</v>
      </c>
      <c r="BM58" s="26">
        <f t="shared" si="43"/>
        <v>4406.1</v>
      </c>
      <c r="BN58" s="27"/>
      <c r="BO58" s="27"/>
    </row>
    <row r="59" spans="1:67" ht="16.5" customHeight="1">
      <c r="A59" s="376" t="s">
        <v>438</v>
      </c>
      <c r="B59" s="29">
        <v>5837941.78</v>
      </c>
      <c r="C59" s="26">
        <f t="shared" si="34"/>
        <v>15149893</v>
      </c>
      <c r="D59" s="26">
        <f t="shared" si="35"/>
        <v>11613773.67</v>
      </c>
      <c r="E59" s="26">
        <f t="shared" si="36"/>
        <v>32601608.450000003</v>
      </c>
      <c r="F59" s="26">
        <f>'Con B&amp;S Journals'!E377</f>
        <v>0</v>
      </c>
      <c r="G59" s="26">
        <f>'Con B&amp;S Journals'!F377</f>
        <v>0</v>
      </c>
      <c r="H59" s="26">
        <f t="shared" si="37"/>
        <v>32601608.450000003</v>
      </c>
      <c r="I59" s="27"/>
      <c r="J59" s="27"/>
      <c r="K59" s="29" t="s">
        <v>438</v>
      </c>
      <c r="L59" s="26">
        <v>0</v>
      </c>
      <c r="M59" s="26">
        <v>0</v>
      </c>
      <c r="N59" s="26">
        <v>5184461</v>
      </c>
      <c r="O59" s="26">
        <v>0</v>
      </c>
      <c r="P59" s="281">
        <v>0</v>
      </c>
      <c r="Q59" s="26">
        <v>0</v>
      </c>
      <c r="R59" s="26">
        <v>2982981</v>
      </c>
      <c r="S59" s="26">
        <v>0</v>
      </c>
      <c r="T59" s="26">
        <v>0</v>
      </c>
      <c r="U59" s="26">
        <v>0</v>
      </c>
      <c r="V59" s="26">
        <v>6982451</v>
      </c>
      <c r="W59" s="281">
        <v>0</v>
      </c>
      <c r="X59" s="26">
        <v>0</v>
      </c>
      <c r="Y59" s="26">
        <f t="shared" si="38"/>
        <v>0</v>
      </c>
      <c r="Z59" s="26">
        <f t="shared" si="39"/>
        <v>0</v>
      </c>
      <c r="AA59" s="26">
        <f t="shared" si="40"/>
        <v>15149893</v>
      </c>
      <c r="AB59" s="27"/>
      <c r="AC59" s="28"/>
      <c r="AD59" s="29" t="s">
        <v>438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f t="shared" si="41"/>
        <v>0</v>
      </c>
      <c r="AR59" s="27"/>
      <c r="AS59" s="28"/>
      <c r="AT59" s="29" t="s">
        <v>438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f t="shared" si="42"/>
        <v>0</v>
      </c>
      <c r="BE59" s="27"/>
      <c r="BF59" s="329"/>
      <c r="BG59" s="29" t="s">
        <v>438</v>
      </c>
      <c r="BH59" s="281">
        <v>4225301.8</v>
      </c>
      <c r="BI59" s="26">
        <v>7388471.87</v>
      </c>
      <c r="BJ59" s="273">
        <v>0</v>
      </c>
      <c r="BK59" s="26"/>
      <c r="BL59" s="26">
        <v>0</v>
      </c>
      <c r="BM59" s="26">
        <f t="shared" si="43"/>
        <v>11613773.67</v>
      </c>
      <c r="BN59" s="27"/>
      <c r="BO59" s="27"/>
    </row>
    <row r="60" spans="1:67" ht="16.5" customHeight="1">
      <c r="A60" s="376" t="s">
        <v>439</v>
      </c>
      <c r="B60" s="29">
        <v>0</v>
      </c>
      <c r="C60" s="26">
        <f t="shared" si="34"/>
        <v>400000</v>
      </c>
      <c r="D60" s="26">
        <f t="shared" si="35"/>
        <v>0</v>
      </c>
      <c r="E60" s="26">
        <f t="shared" si="36"/>
        <v>400000</v>
      </c>
      <c r="F60" s="26">
        <f>'Con B&amp;S Journals'!E384</f>
        <v>600000</v>
      </c>
      <c r="G60" s="26">
        <f>'Con B&amp;S Journals'!F384</f>
        <v>200000</v>
      </c>
      <c r="H60" s="26">
        <f t="shared" si="37"/>
        <v>0</v>
      </c>
      <c r="I60" s="640" t="str">
        <f>IF(B60-H60=0,"Dividend OK","WRONG")</f>
        <v>Dividend OK</v>
      </c>
      <c r="J60" s="27"/>
      <c r="K60" s="29" t="s">
        <v>439</v>
      </c>
      <c r="L60" s="26">
        <v>0</v>
      </c>
      <c r="M60" s="26">
        <v>0</v>
      </c>
      <c r="N60" s="26">
        <v>0</v>
      </c>
      <c r="O60" s="26">
        <v>0</v>
      </c>
      <c r="P60" s="281">
        <v>0</v>
      </c>
      <c r="Q60" s="26">
        <v>0</v>
      </c>
      <c r="R60" s="26">
        <v>0</v>
      </c>
      <c r="S60" s="26">
        <v>0</v>
      </c>
      <c r="T60" s="30">
        <v>0</v>
      </c>
      <c r="U60" s="26">
        <v>400000</v>
      </c>
      <c r="V60" s="30">
        <v>0</v>
      </c>
      <c r="W60" s="281">
        <v>0</v>
      </c>
      <c r="X60" s="26">
        <v>0</v>
      </c>
      <c r="Y60" s="26">
        <f t="shared" si="38"/>
        <v>0</v>
      </c>
      <c r="Z60" s="26">
        <f t="shared" si="39"/>
        <v>0</v>
      </c>
      <c r="AA60" s="26">
        <f t="shared" si="40"/>
        <v>400000</v>
      </c>
      <c r="AB60" s="27"/>
      <c r="AC60" s="28"/>
      <c r="AD60" s="29" t="s">
        <v>439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30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f t="shared" si="41"/>
        <v>0</v>
      </c>
      <c r="AR60" s="27"/>
      <c r="AS60" s="28"/>
      <c r="AT60" s="29" t="s">
        <v>439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f t="shared" si="42"/>
        <v>0</v>
      </c>
      <c r="BE60" s="27"/>
      <c r="BF60" s="329"/>
      <c r="BG60" s="29" t="s">
        <v>439</v>
      </c>
      <c r="BH60" s="281">
        <v>0</v>
      </c>
      <c r="BI60" s="26">
        <v>0</v>
      </c>
      <c r="BJ60" s="273">
        <v>0</v>
      </c>
      <c r="BK60" s="26"/>
      <c r="BL60" s="26">
        <v>0</v>
      </c>
      <c r="BM60" s="26">
        <f t="shared" si="43"/>
        <v>0</v>
      </c>
      <c r="BN60" s="27"/>
      <c r="BO60" s="27"/>
    </row>
    <row r="61" spans="1:67" ht="16.5" customHeight="1">
      <c r="A61" s="376"/>
      <c r="B61" s="29"/>
      <c r="C61" s="26"/>
      <c r="D61" s="26"/>
      <c r="E61" s="26"/>
      <c r="F61" s="26"/>
      <c r="G61" s="26"/>
      <c r="H61" s="26"/>
      <c r="I61" s="27"/>
      <c r="J61" s="27"/>
      <c r="K61" s="29"/>
      <c r="L61" s="26"/>
      <c r="M61" s="26"/>
      <c r="N61" s="26"/>
      <c r="O61" s="26"/>
      <c r="P61" s="287"/>
      <c r="Q61" s="26"/>
      <c r="R61" s="26"/>
      <c r="S61" s="26"/>
      <c r="T61" s="30"/>
      <c r="U61" s="26"/>
      <c r="V61" s="30"/>
      <c r="W61" s="287"/>
      <c r="X61" s="26"/>
      <c r="Y61" s="26"/>
      <c r="Z61" s="26"/>
      <c r="AA61" s="26"/>
      <c r="AB61" s="27"/>
      <c r="AC61" s="28"/>
      <c r="AD61" s="29"/>
      <c r="AE61" s="26"/>
      <c r="AF61" s="26"/>
      <c r="AG61" s="26"/>
      <c r="AH61" s="34"/>
      <c r="AI61" s="26"/>
      <c r="AJ61" s="26"/>
      <c r="AK61" s="26"/>
      <c r="AL61" s="30"/>
      <c r="AM61" s="34"/>
      <c r="AN61" s="26"/>
      <c r="AO61" s="26"/>
      <c r="AP61" s="26"/>
      <c r="AQ61" s="26"/>
      <c r="AR61" s="27"/>
      <c r="AS61" s="28"/>
      <c r="AT61" s="29"/>
      <c r="AU61" s="26"/>
      <c r="AV61" s="26"/>
      <c r="AW61" s="26"/>
      <c r="AX61" s="34"/>
      <c r="AY61" s="26"/>
      <c r="AZ61" s="26"/>
      <c r="BA61" s="26"/>
      <c r="BB61" s="26"/>
      <c r="BC61" s="26"/>
      <c r="BD61" s="26"/>
      <c r="BE61" s="27"/>
      <c r="BF61" s="329"/>
      <c r="BG61" s="29"/>
      <c r="BH61" s="287"/>
      <c r="BI61" s="26"/>
      <c r="BJ61" s="277"/>
      <c r="BK61" s="26"/>
      <c r="BL61" s="26"/>
      <c r="BM61" s="26"/>
      <c r="BN61" s="27"/>
      <c r="BO61" s="27"/>
    </row>
    <row r="62" spans="1:67" ht="16.5" customHeight="1">
      <c r="A62" s="423"/>
      <c r="B62" s="425">
        <f>SUM(B47:B60)</f>
        <v>461975609</v>
      </c>
      <c r="C62" s="39">
        <f>SUM(C47:C60)</f>
        <v>928605283.13</v>
      </c>
      <c r="D62" s="39">
        <f>SUM(D47:D60)</f>
        <v>125667099.68</v>
      </c>
      <c r="E62" s="39">
        <f>SUM(E47:E60)</f>
        <v>1516247991.81</v>
      </c>
      <c r="F62" s="30"/>
      <c r="G62" s="30"/>
      <c r="H62" s="39">
        <f>SUM(H47:H60)</f>
        <v>966249405.4200001</v>
      </c>
      <c r="I62" s="27"/>
      <c r="J62" s="27"/>
      <c r="K62" s="35"/>
      <c r="L62" s="39">
        <f>SUM(L47:L60)</f>
        <v>-3253507.75</v>
      </c>
      <c r="M62" s="39">
        <f>SUM(M47:M60)</f>
        <v>135776370.2</v>
      </c>
      <c r="N62" s="39">
        <f>SUM(N47:N60)</f>
        <v>93238490</v>
      </c>
      <c r="O62" s="39">
        <f>SUM(O47:O60)</f>
        <v>18107605</v>
      </c>
      <c r="P62" s="39">
        <f aca="true" t="shared" si="44" ref="P62:X62">SUM(P47:P60)</f>
        <v>12860199</v>
      </c>
      <c r="Q62" s="39">
        <f t="shared" si="44"/>
        <v>6733991.4</v>
      </c>
      <c r="R62" s="39">
        <f t="shared" si="44"/>
        <v>368459979.5</v>
      </c>
      <c r="S62" s="39">
        <f t="shared" si="44"/>
        <v>1511679.7399999998</v>
      </c>
      <c r="T62" s="39">
        <f t="shared" si="44"/>
        <v>6658333</v>
      </c>
      <c r="U62" s="39">
        <f t="shared" si="44"/>
        <v>4636184.46</v>
      </c>
      <c r="V62" s="39">
        <f t="shared" si="44"/>
        <v>190514478</v>
      </c>
      <c r="W62" s="39">
        <f t="shared" si="44"/>
        <v>39308314.6</v>
      </c>
      <c r="X62" s="39">
        <f t="shared" si="44"/>
        <v>285907</v>
      </c>
      <c r="Y62" s="39">
        <f>SUM(Y47:Y60)</f>
        <v>46174127.309999995</v>
      </c>
      <c r="Z62" s="39">
        <f>SUM(Z47:Z60)</f>
        <v>7593131.670000001</v>
      </c>
      <c r="AA62" s="39">
        <f>SUM(AA47:AA60)</f>
        <v>928605283.13</v>
      </c>
      <c r="AB62" s="27"/>
      <c r="AC62" s="28"/>
      <c r="AD62" s="35"/>
      <c r="AE62" s="39">
        <f aca="true" t="shared" si="45" ref="AE62:AK62">SUM(AE47:AE60)</f>
        <v>155829.62</v>
      </c>
      <c r="AF62" s="39">
        <f t="shared" si="45"/>
        <v>13822.9</v>
      </c>
      <c r="AG62" s="39">
        <f t="shared" si="45"/>
        <v>14022171.85</v>
      </c>
      <c r="AH62" s="39">
        <f t="shared" si="45"/>
        <v>8491448.2</v>
      </c>
      <c r="AI62" s="174">
        <f t="shared" si="45"/>
        <v>5200</v>
      </c>
      <c r="AJ62" s="39">
        <f t="shared" si="45"/>
        <v>5200</v>
      </c>
      <c r="AK62" s="39">
        <f t="shared" si="45"/>
        <v>10642.5</v>
      </c>
      <c r="AL62" s="39">
        <f>SUM(AL47:AL59)</f>
        <v>10642.5</v>
      </c>
      <c r="AM62" s="39">
        <f>SUM(AM47:AM60)</f>
        <v>1141175.6</v>
      </c>
      <c r="AN62" s="39">
        <f>SUM(AN47:AN60)</f>
        <v>4258567.28</v>
      </c>
      <c r="AO62" s="39">
        <f>SUM(AO47:AO60)</f>
        <v>1161639.53</v>
      </c>
      <c r="AP62" s="39">
        <f>SUM(AP47:AP60)</f>
        <v>16897787.33</v>
      </c>
      <c r="AQ62" s="39">
        <f>SUM(AQ47:AQ60)</f>
        <v>46174127.309999995</v>
      </c>
      <c r="AR62" s="27"/>
      <c r="AS62" s="28"/>
      <c r="AT62" s="35"/>
      <c r="AU62" s="39">
        <f>SUM(AU47:AU60)</f>
        <v>5402055.41</v>
      </c>
      <c r="AV62" s="39">
        <f>SUM(AV47:AV60)</f>
        <v>9905</v>
      </c>
      <c r="AW62" s="174">
        <f aca="true" t="shared" si="46" ref="AW62:BD62">SUM(AW47:AW60)</f>
        <v>1511863.7</v>
      </c>
      <c r="AX62" s="39">
        <f t="shared" si="46"/>
        <v>10860.9</v>
      </c>
      <c r="AY62" s="39">
        <f t="shared" si="46"/>
        <v>40669.5</v>
      </c>
      <c r="AZ62" s="39">
        <f t="shared" si="46"/>
        <v>595591</v>
      </c>
      <c r="BA62" s="39">
        <f t="shared" si="46"/>
        <v>7472</v>
      </c>
      <c r="BB62" s="39">
        <f t="shared" si="46"/>
        <v>7870</v>
      </c>
      <c r="BC62" s="39">
        <f t="shared" si="46"/>
        <v>6844.16</v>
      </c>
      <c r="BD62" s="39">
        <f t="shared" si="46"/>
        <v>7593131.670000001</v>
      </c>
      <c r="BE62" s="27"/>
      <c r="BF62" s="329"/>
      <c r="BG62" s="35"/>
      <c r="BH62" s="39">
        <f aca="true" t="shared" si="47" ref="BH62:BM62">SUM(BH47:BH60)</f>
        <v>10463725.559999999</v>
      </c>
      <c r="BI62" s="39">
        <f t="shared" si="47"/>
        <v>15737800.100000001</v>
      </c>
      <c r="BJ62" s="39">
        <f t="shared" si="47"/>
        <v>99465574.02</v>
      </c>
      <c r="BK62" s="39"/>
      <c r="BL62" s="39">
        <f t="shared" si="47"/>
        <v>0</v>
      </c>
      <c r="BM62" s="39">
        <f t="shared" si="47"/>
        <v>125667099.68</v>
      </c>
      <c r="BN62" s="27"/>
      <c r="BO62" s="27"/>
    </row>
    <row r="63" spans="1:67" ht="16.5" customHeight="1">
      <c r="A63" s="423"/>
      <c r="B63" s="29"/>
      <c r="C63" s="26"/>
      <c r="D63" s="26"/>
      <c r="E63" s="26"/>
      <c r="F63" s="30"/>
      <c r="G63" s="30"/>
      <c r="H63" s="26"/>
      <c r="I63" s="27"/>
      <c r="J63" s="27"/>
      <c r="K63" s="3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87"/>
      <c r="X63" s="26"/>
      <c r="Y63" s="26"/>
      <c r="Z63" s="26"/>
      <c r="AA63" s="26"/>
      <c r="AB63" s="27"/>
      <c r="AC63" s="28"/>
      <c r="AD63" s="35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7"/>
      <c r="AS63" s="28"/>
      <c r="AT63" s="35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7"/>
      <c r="BF63" s="329"/>
      <c r="BG63" s="35"/>
      <c r="BH63" s="287"/>
      <c r="BI63" s="26"/>
      <c r="BJ63" s="26"/>
      <c r="BK63" s="26"/>
      <c r="BL63" s="26"/>
      <c r="BM63" s="26"/>
      <c r="BN63" s="27"/>
      <c r="BO63" s="27"/>
    </row>
    <row r="64" spans="1:67" ht="16.5" customHeight="1">
      <c r="A64" s="422" t="s">
        <v>13</v>
      </c>
      <c r="B64" s="29">
        <f>B42-B62</f>
        <v>-306918747</v>
      </c>
      <c r="C64" s="26">
        <f>C42-C62</f>
        <v>-674533729.98</v>
      </c>
      <c r="D64" s="26">
        <f>D42-D62</f>
        <v>-124545525.47000001</v>
      </c>
      <c r="E64" s="26">
        <f>E42-E62</f>
        <v>-1105998002.4499998</v>
      </c>
      <c r="F64" s="26"/>
      <c r="G64" s="26"/>
      <c r="H64" s="26">
        <f>H42-H62</f>
        <v>-684353910.6200001</v>
      </c>
      <c r="I64" s="27"/>
      <c r="J64" s="27"/>
      <c r="K64" s="25" t="s">
        <v>13</v>
      </c>
      <c r="L64" s="26">
        <f aca="true" t="shared" si="48" ref="L64:X64">L42-L62</f>
        <v>7841947.05</v>
      </c>
      <c r="M64" s="26">
        <f t="shared" si="48"/>
        <v>-134244550.39999998</v>
      </c>
      <c r="N64" s="26">
        <f t="shared" si="48"/>
        <v>-83409964</v>
      </c>
      <c r="O64" s="26">
        <f t="shared" si="48"/>
        <v>-17934776</v>
      </c>
      <c r="P64" s="26">
        <f t="shared" si="48"/>
        <v>-4833889</v>
      </c>
      <c r="Q64" s="26">
        <f t="shared" si="48"/>
        <v>-5667540</v>
      </c>
      <c r="R64" s="26">
        <f t="shared" si="48"/>
        <v>-215428747</v>
      </c>
      <c r="S64" s="26">
        <f t="shared" si="48"/>
        <v>-1502781.7399999998</v>
      </c>
      <c r="T64" s="26">
        <f t="shared" si="48"/>
        <v>-3856635</v>
      </c>
      <c r="U64" s="26">
        <f t="shared" si="48"/>
        <v>363182.0700000003</v>
      </c>
      <c r="V64" s="26">
        <f t="shared" si="48"/>
        <v>-172647750</v>
      </c>
      <c r="W64" s="26">
        <f t="shared" si="48"/>
        <v>-6515032.6000000015</v>
      </c>
      <c r="X64" s="26">
        <f t="shared" si="48"/>
        <v>241311</v>
      </c>
      <c r="Y64" s="26">
        <f>Y42-Y62</f>
        <v>-34442244.06999999</v>
      </c>
      <c r="Z64" s="26">
        <f>Z42-Z62</f>
        <v>-2496260.290000001</v>
      </c>
      <c r="AA64" s="26">
        <f>AA42-AA62</f>
        <v>-674533729.98</v>
      </c>
      <c r="AB64" s="27"/>
      <c r="AC64" s="28"/>
      <c r="AD64" s="25" t="s">
        <v>13</v>
      </c>
      <c r="AE64" s="26">
        <f aca="true" t="shared" si="49" ref="AE64:AQ64">AE42-AE62</f>
        <v>-74166.55</v>
      </c>
      <c r="AF64" s="26">
        <f t="shared" si="49"/>
        <v>-13803.699999999999</v>
      </c>
      <c r="AG64" s="26">
        <f t="shared" si="49"/>
        <v>-6881749.1</v>
      </c>
      <c r="AH64" s="26">
        <f t="shared" si="49"/>
        <v>-7598392.799999999</v>
      </c>
      <c r="AI64" s="26">
        <f t="shared" si="49"/>
        <v>-5198</v>
      </c>
      <c r="AJ64" s="26">
        <f t="shared" si="49"/>
        <v>-5198</v>
      </c>
      <c r="AK64" s="26">
        <f t="shared" si="49"/>
        <v>-10640</v>
      </c>
      <c r="AL64" s="26">
        <f t="shared" si="49"/>
        <v>-10640</v>
      </c>
      <c r="AM64" s="26">
        <f>AM42-AM62</f>
        <v>-1140966.6</v>
      </c>
      <c r="AN64" s="26">
        <f>AN42-AN62</f>
        <v>-4162565.68</v>
      </c>
      <c r="AO64" s="26">
        <f t="shared" si="49"/>
        <v>-736637.53</v>
      </c>
      <c r="AP64" s="26">
        <f t="shared" si="49"/>
        <v>-13802286.109999998</v>
      </c>
      <c r="AQ64" s="26">
        <f t="shared" si="49"/>
        <v>-34442244.06999999</v>
      </c>
      <c r="AR64" s="27"/>
      <c r="AS64" s="28"/>
      <c r="AT64" s="25" t="s">
        <v>13</v>
      </c>
      <c r="AU64" s="26">
        <f aca="true" t="shared" si="50" ref="AU64:BD64">AU42-AU62</f>
        <v>-709046.5300000003</v>
      </c>
      <c r="AV64" s="26">
        <f>AV42-AV62</f>
        <v>2</v>
      </c>
      <c r="AW64" s="26">
        <f t="shared" si="50"/>
        <v>-1511861.7</v>
      </c>
      <c r="AX64" s="26">
        <f t="shared" si="50"/>
        <v>-10858.9</v>
      </c>
      <c r="AY64" s="26">
        <f t="shared" si="50"/>
        <v>-40667.5</v>
      </c>
      <c r="AZ64" s="26">
        <f t="shared" si="50"/>
        <v>-595591</v>
      </c>
      <c r="BA64" s="26">
        <f t="shared" si="50"/>
        <v>-7470</v>
      </c>
      <c r="BB64" s="26">
        <f t="shared" si="50"/>
        <v>-7870</v>
      </c>
      <c r="BC64" s="26">
        <f t="shared" si="50"/>
        <v>387103.34</v>
      </c>
      <c r="BD64" s="26">
        <f t="shared" si="50"/>
        <v>-2496260.290000001</v>
      </c>
      <c r="BE64" s="27"/>
      <c r="BF64" s="329"/>
      <c r="BG64" s="25" t="s">
        <v>13</v>
      </c>
      <c r="BH64" s="26">
        <f aca="true" t="shared" si="51" ref="BH64:BM64">BH42-BH62</f>
        <v>-10254796.62</v>
      </c>
      <c r="BI64" s="26">
        <f t="shared" si="51"/>
        <v>-14825509.100000001</v>
      </c>
      <c r="BJ64" s="26">
        <f t="shared" si="51"/>
        <v>-99465219.75</v>
      </c>
      <c r="BK64" s="26"/>
      <c r="BL64" s="26">
        <f t="shared" si="51"/>
        <v>0</v>
      </c>
      <c r="BM64" s="26">
        <f t="shared" si="51"/>
        <v>-124545525.47000001</v>
      </c>
      <c r="BN64" s="27"/>
      <c r="BO64" s="27"/>
    </row>
    <row r="65" spans="1:67" ht="16.5" customHeight="1">
      <c r="A65" s="423"/>
      <c r="B65" s="35"/>
      <c r="C65" s="26"/>
      <c r="D65" s="26"/>
      <c r="E65" s="26"/>
      <c r="F65" s="30"/>
      <c r="G65" s="30"/>
      <c r="H65" s="26"/>
      <c r="I65" s="27"/>
      <c r="J65" s="27"/>
      <c r="K65" s="35"/>
      <c r="L65" s="30"/>
      <c r="M65" s="26"/>
      <c r="N65" s="26"/>
      <c r="O65" s="26"/>
      <c r="P65" s="288"/>
      <c r="Q65" s="26"/>
      <c r="R65" s="30"/>
      <c r="S65" s="26"/>
      <c r="T65" s="26"/>
      <c r="U65" s="26"/>
      <c r="V65" s="26"/>
      <c r="W65" s="288"/>
      <c r="X65" s="26"/>
      <c r="Y65" s="26"/>
      <c r="Z65" s="26"/>
      <c r="AA65" s="26"/>
      <c r="AB65" s="27"/>
      <c r="AC65" s="28"/>
      <c r="AD65" s="35"/>
      <c r="AE65" s="30"/>
      <c r="AF65" s="26"/>
      <c r="AG65" s="26"/>
      <c r="AH65" s="30"/>
      <c r="AI65" s="26"/>
      <c r="AJ65" s="26"/>
      <c r="AK65" s="26"/>
      <c r="AL65" s="26"/>
      <c r="AM65" s="30"/>
      <c r="AN65" s="26"/>
      <c r="AO65" s="26"/>
      <c r="AP65" s="26"/>
      <c r="AQ65" s="26"/>
      <c r="AR65" s="27"/>
      <c r="AS65" s="28"/>
      <c r="AT65" s="35"/>
      <c r="AU65" s="30"/>
      <c r="AV65" s="26"/>
      <c r="AW65" s="26"/>
      <c r="AX65" s="30"/>
      <c r="AY65" s="26"/>
      <c r="AZ65" s="26"/>
      <c r="BA65" s="26"/>
      <c r="BB65" s="26"/>
      <c r="BC65" s="26"/>
      <c r="BD65" s="26"/>
      <c r="BE65" s="27"/>
      <c r="BF65" s="329"/>
      <c r="BG65" s="35"/>
      <c r="BH65" s="288"/>
      <c r="BI65" s="26"/>
      <c r="BJ65" s="278"/>
      <c r="BK65" s="26"/>
      <c r="BL65" s="26"/>
      <c r="BM65" s="26"/>
      <c r="BN65" s="27"/>
      <c r="BO65" s="27"/>
    </row>
    <row r="66" spans="1:67" ht="16.5" customHeight="1">
      <c r="A66" s="422" t="s">
        <v>14</v>
      </c>
      <c r="B66" s="29">
        <v>0</v>
      </c>
      <c r="C66" s="26">
        <f>AA66</f>
        <v>0</v>
      </c>
      <c r="D66" s="26">
        <f>BM66</f>
        <v>-0.3999999999996362</v>
      </c>
      <c r="E66" s="26">
        <f>SUM(B66:D66)</f>
        <v>-0.3999999999996362</v>
      </c>
      <c r="F66" s="30">
        <f>'Con B&amp;S Journals'!E350</f>
        <v>2027981</v>
      </c>
      <c r="G66" s="30">
        <f>'Con B&amp;S Journals'!F350</f>
        <v>2027981</v>
      </c>
      <c r="H66" s="26">
        <f>E66+F66-G66</f>
        <v>-0.39999999990686774</v>
      </c>
      <c r="I66" s="27"/>
      <c r="J66" s="27"/>
      <c r="K66" s="25" t="s">
        <v>14</v>
      </c>
      <c r="L66" s="26">
        <v>0</v>
      </c>
      <c r="M66" s="26">
        <v>0</v>
      </c>
      <c r="N66" s="26">
        <v>0</v>
      </c>
      <c r="O66" s="26">
        <v>0</v>
      </c>
      <c r="P66" s="281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81">
        <v>0</v>
      </c>
      <c r="X66" s="26">
        <v>0</v>
      </c>
      <c r="Y66" s="26">
        <f>AQ66</f>
        <v>0</v>
      </c>
      <c r="Z66" s="26">
        <f>BD66</f>
        <v>0</v>
      </c>
      <c r="AA66" s="26">
        <f>SUM(L66:Z66)</f>
        <v>0</v>
      </c>
      <c r="AB66" s="27"/>
      <c r="AC66" s="28"/>
      <c r="AD66" s="25" t="s">
        <v>14</v>
      </c>
      <c r="AE66" s="26">
        <v>0</v>
      </c>
      <c r="AF66" s="26">
        <f>1360+11212.9+9.5-2.5-12579.9</f>
        <v>0</v>
      </c>
      <c r="AG66" s="26">
        <f>6352.1-6352.1</f>
        <v>0</v>
      </c>
      <c r="AH66" s="26">
        <v>0</v>
      </c>
      <c r="AI66" s="26">
        <f>2800-2800</f>
        <v>0</v>
      </c>
      <c r="AJ66" s="26">
        <f>2800-2800</f>
        <v>0</v>
      </c>
      <c r="AK66" s="26">
        <f>3750-3750</f>
        <v>0</v>
      </c>
      <c r="AL66" s="26">
        <f>3750-3750</f>
        <v>0</v>
      </c>
      <c r="AM66" s="26">
        <f>1549.06-1549.06</f>
        <v>0</v>
      </c>
      <c r="AN66" s="26">
        <f>3440-3440</f>
        <v>0</v>
      </c>
      <c r="AO66" s="26">
        <f>8603.53-8603.53</f>
        <v>0</v>
      </c>
      <c r="AP66" s="26">
        <f>CG66</f>
        <v>0</v>
      </c>
      <c r="AQ66" s="26">
        <f>SUM(AE66:AP66)</f>
        <v>0</v>
      </c>
      <c r="AR66" s="27"/>
      <c r="AS66" s="28"/>
      <c r="AT66" s="25" t="s">
        <v>14</v>
      </c>
      <c r="AU66" s="26">
        <f>17161-17161</f>
        <v>0</v>
      </c>
      <c r="AV66" s="26">
        <v>0</v>
      </c>
      <c r="AW66" s="26">
        <f>2264.7-2264.7</f>
        <v>0</v>
      </c>
      <c r="AX66" s="26">
        <f>8190.9-8190.9</f>
        <v>0</v>
      </c>
      <c r="AY66" s="26">
        <f>3098-3098</f>
        <v>0</v>
      </c>
      <c r="AZ66" s="26">
        <f>586648-586648</f>
        <v>0</v>
      </c>
      <c r="BA66" s="26">
        <f>2901.85+3500-6401.85</f>
        <v>0</v>
      </c>
      <c r="BB66" s="26">
        <f>3301.85+3500-6801.85</f>
        <v>0</v>
      </c>
      <c r="BC66" s="26">
        <f>DA66</f>
        <v>0</v>
      </c>
      <c r="BD66" s="26">
        <f>SUM(AU66:BC66)</f>
        <v>0</v>
      </c>
      <c r="BE66" s="27"/>
      <c r="BF66" s="329"/>
      <c r="BG66" s="25" t="s">
        <v>14</v>
      </c>
      <c r="BH66" s="281">
        <v>0</v>
      </c>
      <c r="BI66" s="26">
        <v>0</v>
      </c>
      <c r="BJ66" s="273">
        <v>-0.3999999999996362</v>
      </c>
      <c r="BK66" s="26"/>
      <c r="BL66" s="26">
        <v>0</v>
      </c>
      <c r="BM66" s="26">
        <f>SUM(BH66:BL66)</f>
        <v>-0.3999999999996362</v>
      </c>
      <c r="BN66" s="27"/>
      <c r="BO66" s="27"/>
    </row>
    <row r="67" spans="1:67" ht="16.5" customHeight="1">
      <c r="A67" s="422"/>
      <c r="B67" s="29"/>
      <c r="C67" s="26"/>
      <c r="D67" s="26"/>
      <c r="E67" s="26"/>
      <c r="F67" s="30"/>
      <c r="G67" s="30"/>
      <c r="H67" s="26"/>
      <c r="I67" s="27"/>
      <c r="J67" s="27"/>
      <c r="K67" s="25"/>
      <c r="L67" s="26"/>
      <c r="M67" s="26"/>
      <c r="N67" s="26"/>
      <c r="O67" s="26"/>
      <c r="P67" s="287"/>
      <c r="Q67" s="26"/>
      <c r="R67" s="26"/>
      <c r="S67" s="26"/>
      <c r="T67" s="26"/>
      <c r="U67" s="26"/>
      <c r="V67" s="26"/>
      <c r="W67" s="287"/>
      <c r="X67" s="26"/>
      <c r="Y67" s="26"/>
      <c r="Z67" s="26"/>
      <c r="AA67" s="26"/>
      <c r="AB67" s="27"/>
      <c r="AC67" s="28"/>
      <c r="AD67" s="25"/>
      <c r="AE67" s="26"/>
      <c r="AF67" s="26"/>
      <c r="AG67" s="26"/>
      <c r="AH67" s="34"/>
      <c r="AI67" s="26"/>
      <c r="AJ67" s="26"/>
      <c r="AK67" s="26"/>
      <c r="AL67" s="26"/>
      <c r="AM67" s="34"/>
      <c r="AN67" s="26"/>
      <c r="AO67" s="26"/>
      <c r="AP67" s="26"/>
      <c r="AQ67" s="26"/>
      <c r="AR67" s="27"/>
      <c r="AS67" s="28"/>
      <c r="AT67" s="25"/>
      <c r="AU67" s="26"/>
      <c r="AV67" s="26"/>
      <c r="AW67" s="26"/>
      <c r="AX67" s="34"/>
      <c r="AY67" s="26"/>
      <c r="AZ67" s="26"/>
      <c r="BA67" s="26"/>
      <c r="BB67" s="26"/>
      <c r="BC67" s="26"/>
      <c r="BD67" s="26"/>
      <c r="BE67" s="27"/>
      <c r="BF67" s="329"/>
      <c r="BG67" s="25"/>
      <c r="BH67" s="287"/>
      <c r="BI67" s="26"/>
      <c r="BJ67" s="277"/>
      <c r="BK67" s="26"/>
      <c r="BL67" s="26"/>
      <c r="BM67" s="26"/>
      <c r="BN67" s="27"/>
      <c r="BO67" s="27"/>
    </row>
    <row r="68" spans="1:67" ht="16.5" customHeight="1" thickBot="1">
      <c r="A68" s="424"/>
      <c r="B68" s="36">
        <f>SUM(B22:B28)+B64+B66</f>
        <v>-226678483</v>
      </c>
      <c r="C68" s="43">
        <f>SUM(C22:C28)+C64+C66</f>
        <v>-473636991.5</v>
      </c>
      <c r="D68" s="43">
        <f>SUM(D22:D28)+D64+D66</f>
        <v>-75872863.87000002</v>
      </c>
      <c r="E68" s="43">
        <f>SUM(E22:E28)+E64+E66</f>
        <v>-776188338.3699998</v>
      </c>
      <c r="F68" s="43">
        <f>SUM(F8:F66)</f>
        <v>1616684359.458</v>
      </c>
      <c r="G68" s="43">
        <f>SUM(G8:G66)</f>
        <v>1616684359.458</v>
      </c>
      <c r="H68" s="43">
        <f>SUM(H22:H28)+H64+H66</f>
        <v>-400503608.8620001</v>
      </c>
      <c r="I68" s="27"/>
      <c r="J68" s="27"/>
      <c r="K68" s="42"/>
      <c r="L68" s="43">
        <f aca="true" t="shared" si="52" ref="L68:AA68">SUM(L22:L28)+L64+L66</f>
        <v>49881069.05</v>
      </c>
      <c r="M68" s="43">
        <f t="shared" si="52"/>
        <v>-27043351.399999976</v>
      </c>
      <c r="N68" s="43">
        <f t="shared" si="52"/>
        <v>-75140552</v>
      </c>
      <c r="O68" s="43">
        <f t="shared" si="52"/>
        <v>-17716273</v>
      </c>
      <c r="P68" s="43">
        <f t="shared" si="52"/>
        <v>-4832944</v>
      </c>
      <c r="Q68" s="43">
        <f t="shared" si="52"/>
        <v>-5662917</v>
      </c>
      <c r="R68" s="43">
        <f t="shared" si="52"/>
        <v>-205294075</v>
      </c>
      <c r="S68" s="43">
        <f t="shared" si="52"/>
        <v>-502781.73999999976</v>
      </c>
      <c r="T68" s="43">
        <f t="shared" si="52"/>
        <v>-3856635</v>
      </c>
      <c r="U68" s="43">
        <f t="shared" si="52"/>
        <v>517508.0500000003</v>
      </c>
      <c r="V68" s="43">
        <f t="shared" si="52"/>
        <v>-145442126</v>
      </c>
      <c r="W68" s="43">
        <f t="shared" si="52"/>
        <v>-6515031.6000000015</v>
      </c>
      <c r="X68" s="43">
        <f t="shared" si="52"/>
        <v>241311</v>
      </c>
      <c r="Y68" s="43">
        <f t="shared" si="52"/>
        <v>-30467822.569999993</v>
      </c>
      <c r="Z68" s="43">
        <f t="shared" si="52"/>
        <v>-1802370.290000001</v>
      </c>
      <c r="AA68" s="43">
        <f t="shared" si="52"/>
        <v>-473636991.5</v>
      </c>
      <c r="AB68" s="28"/>
      <c r="AC68" s="28"/>
      <c r="AD68" s="42"/>
      <c r="AE68" s="43">
        <f aca="true" t="shared" si="53" ref="AE68:AQ68">SUM(AE22:AE28)+AE64+AE66</f>
        <v>-74166.55</v>
      </c>
      <c r="AF68" s="43">
        <f t="shared" si="53"/>
        <v>-13803.699999999999</v>
      </c>
      <c r="AG68" s="43">
        <f t="shared" si="53"/>
        <v>-6781740.1</v>
      </c>
      <c r="AH68" s="43">
        <f t="shared" si="53"/>
        <v>-5815405.799999999</v>
      </c>
      <c r="AI68" s="43">
        <f t="shared" si="53"/>
        <v>-5198</v>
      </c>
      <c r="AJ68" s="43">
        <f t="shared" si="53"/>
        <v>-5198</v>
      </c>
      <c r="AK68" s="43">
        <f t="shared" si="53"/>
        <v>-10640</v>
      </c>
      <c r="AL68" s="43">
        <f t="shared" si="53"/>
        <v>-10640</v>
      </c>
      <c r="AM68" s="43">
        <f t="shared" si="53"/>
        <v>-1135542.1</v>
      </c>
      <c r="AN68" s="43">
        <f t="shared" si="53"/>
        <v>-2076565.6800000002</v>
      </c>
      <c r="AO68" s="43">
        <f t="shared" si="53"/>
        <v>-736637.53</v>
      </c>
      <c r="AP68" s="43">
        <f t="shared" si="53"/>
        <v>-13802285.109999998</v>
      </c>
      <c r="AQ68" s="43">
        <f t="shared" si="53"/>
        <v>-30467822.569999993</v>
      </c>
      <c r="AR68" s="28"/>
      <c r="AS68" s="28"/>
      <c r="AT68" s="42"/>
      <c r="AU68" s="43">
        <f aca="true" t="shared" si="54" ref="AU68:BD68">SUM(AU22:AU28)+AU64+AU66</f>
        <v>-19158.53000000026</v>
      </c>
      <c r="AV68" s="43">
        <f t="shared" si="54"/>
        <v>2</v>
      </c>
      <c r="AW68" s="43">
        <f t="shared" si="54"/>
        <v>-1511860.7</v>
      </c>
      <c r="AX68" s="43">
        <f t="shared" si="54"/>
        <v>-10858.9</v>
      </c>
      <c r="AY68" s="43">
        <f t="shared" si="54"/>
        <v>-40667.5</v>
      </c>
      <c r="AZ68" s="43">
        <f t="shared" si="54"/>
        <v>-595591</v>
      </c>
      <c r="BA68" s="43">
        <f t="shared" si="54"/>
        <v>-7470</v>
      </c>
      <c r="BB68" s="43">
        <f t="shared" si="54"/>
        <v>-7870</v>
      </c>
      <c r="BC68" s="43">
        <f t="shared" si="54"/>
        <v>391104.34</v>
      </c>
      <c r="BD68" s="43">
        <f t="shared" si="54"/>
        <v>-1802370.290000001</v>
      </c>
      <c r="BE68" s="28"/>
      <c r="BF68" s="329"/>
      <c r="BG68" s="42"/>
      <c r="BH68" s="43">
        <f>SUM(BH22:BH28)+BH64+BH66</f>
        <v>-10251234.62</v>
      </c>
      <c r="BI68" s="43">
        <f>SUM(BI22:BI28)+BI64+BI66</f>
        <v>-12156409.100000001</v>
      </c>
      <c r="BJ68" s="43">
        <f>SUM(BJ22:BJ28)+BJ64+BJ66</f>
        <v>-53465220.15</v>
      </c>
      <c r="BK68" s="43"/>
      <c r="BL68" s="43">
        <f>SUM(BL22:BL28)+BL64+BL66</f>
        <v>0</v>
      </c>
      <c r="BM68" s="43">
        <f>SUM(BM22:BM28)+BM64+BM66</f>
        <v>-75872863.87000002</v>
      </c>
      <c r="BN68" s="27"/>
      <c r="BO68" s="27"/>
    </row>
    <row r="69" spans="1:67" ht="13.5" thickTop="1">
      <c r="A69" s="368"/>
      <c r="B69" s="45"/>
      <c r="C69" s="44"/>
      <c r="D69" s="44"/>
      <c r="E69" s="44"/>
      <c r="F69" s="45">
        <f>F68-G68</f>
        <v>0</v>
      </c>
      <c r="G69" s="44"/>
      <c r="H69" s="44"/>
      <c r="I69" s="44"/>
      <c r="J69" s="44"/>
      <c r="K69" s="44"/>
      <c r="L69" s="44"/>
      <c r="M69" s="44"/>
      <c r="N69" s="44"/>
      <c r="O69" s="44"/>
      <c r="Q69" s="44"/>
      <c r="R69" s="45"/>
      <c r="S69" s="44"/>
      <c r="T69" s="44"/>
      <c r="U69" s="44"/>
      <c r="V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330"/>
      <c r="BG69" s="44"/>
      <c r="BI69" s="44"/>
      <c r="BJ69" s="282"/>
      <c r="BK69" s="44"/>
      <c r="BL69" s="44"/>
      <c r="BM69" s="44"/>
      <c r="BN69" s="44"/>
      <c r="BO69" s="44"/>
    </row>
    <row r="70" spans="1:67" ht="12.75">
      <c r="A70" s="44"/>
      <c r="B70" s="44"/>
      <c r="C70" s="44"/>
      <c r="D70" s="44"/>
      <c r="E70" s="44"/>
      <c r="G70" s="44"/>
      <c r="H70" s="44"/>
      <c r="I70" s="44"/>
      <c r="J70" s="44"/>
      <c r="K70" s="44"/>
      <c r="L70" s="44"/>
      <c r="M70" s="44"/>
      <c r="N70" s="44"/>
      <c r="O70" s="44"/>
      <c r="Q70" s="44"/>
      <c r="R70" s="44"/>
      <c r="S70" s="44"/>
      <c r="T70" s="44"/>
      <c r="U70" s="44"/>
      <c r="V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330"/>
      <c r="BG70" s="44"/>
      <c r="BI70" s="44"/>
      <c r="BK70" s="45"/>
      <c r="BL70" s="44"/>
      <c r="BM70" s="44"/>
      <c r="BN70" s="44"/>
      <c r="BO70" s="44"/>
    </row>
    <row r="71" spans="1:67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Q71" s="44"/>
      <c r="R71" s="44"/>
      <c r="S71" s="44"/>
      <c r="T71" s="44"/>
      <c r="U71" s="44"/>
      <c r="V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330"/>
      <c r="BG71" s="44"/>
      <c r="BI71" s="44"/>
      <c r="BK71" s="46"/>
      <c r="BL71" s="44"/>
      <c r="BM71" s="44"/>
      <c r="BN71" s="44"/>
      <c r="BO71" s="44"/>
    </row>
    <row r="72" spans="1:67" s="354" customFormat="1" ht="12.75">
      <c r="A72" s="352"/>
      <c r="B72" s="351">
        <f>B20-B68</f>
        <v>0</v>
      </c>
      <c r="C72" s="351">
        <f>C20-C68</f>
        <v>-0.001999974250793457</v>
      </c>
      <c r="D72" s="351">
        <f>D20-D68</f>
        <v>0</v>
      </c>
      <c r="E72" s="351">
        <f>E20-E68</f>
        <v>-0.001999974250793457</v>
      </c>
      <c r="F72" s="351">
        <f>F68-G20</f>
        <v>1616684359.458</v>
      </c>
      <c r="G72" s="351">
        <f>G68-F20</f>
        <v>1616684359.458</v>
      </c>
      <c r="H72" s="351">
        <f>H20-H68</f>
        <v>-0.0019996166229248047</v>
      </c>
      <c r="I72" s="352"/>
      <c r="J72" s="352"/>
      <c r="K72" s="352"/>
      <c r="L72" s="351">
        <f aca="true" t="shared" si="55" ref="L72:AA72">L20-L68</f>
        <v>-0.001999996602535248</v>
      </c>
      <c r="M72" s="351">
        <f t="shared" si="55"/>
        <v>0</v>
      </c>
      <c r="N72" s="351">
        <f t="shared" si="55"/>
        <v>0</v>
      </c>
      <c r="O72" s="351">
        <f t="shared" si="55"/>
        <v>0</v>
      </c>
      <c r="P72" s="351">
        <f t="shared" si="55"/>
        <v>0</v>
      </c>
      <c r="Q72" s="351">
        <f t="shared" si="55"/>
        <v>0</v>
      </c>
      <c r="R72" s="351">
        <f t="shared" si="55"/>
        <v>0</v>
      </c>
      <c r="S72" s="351">
        <f t="shared" si="55"/>
        <v>0</v>
      </c>
      <c r="T72" s="351">
        <f t="shared" si="55"/>
        <v>0</v>
      </c>
      <c r="U72" s="351">
        <f t="shared" si="55"/>
        <v>0</v>
      </c>
      <c r="V72" s="351">
        <f t="shared" si="55"/>
        <v>0</v>
      </c>
      <c r="W72" s="351">
        <f t="shared" si="55"/>
        <v>0</v>
      </c>
      <c r="X72" s="351">
        <f t="shared" si="55"/>
        <v>0</v>
      </c>
      <c r="Y72" s="351">
        <f t="shared" si="55"/>
        <v>0</v>
      </c>
      <c r="Z72" s="351">
        <f t="shared" si="55"/>
        <v>0</v>
      </c>
      <c r="AA72" s="351">
        <f t="shared" si="55"/>
        <v>-0.001999974250793457</v>
      </c>
      <c r="AB72" s="351"/>
      <c r="AC72" s="351"/>
      <c r="AD72" s="352"/>
      <c r="AE72" s="351">
        <f aca="true" t="shared" si="56" ref="AE72:AQ72">AE20-AE68</f>
        <v>0</v>
      </c>
      <c r="AF72" s="351">
        <f t="shared" si="56"/>
        <v>0</v>
      </c>
      <c r="AG72" s="351">
        <f t="shared" si="56"/>
        <v>0</v>
      </c>
      <c r="AH72" s="351">
        <f t="shared" si="56"/>
        <v>0</v>
      </c>
      <c r="AI72" s="351">
        <f t="shared" si="56"/>
        <v>0</v>
      </c>
      <c r="AJ72" s="351">
        <f t="shared" si="56"/>
        <v>0</v>
      </c>
      <c r="AK72" s="351">
        <f t="shared" si="56"/>
        <v>0</v>
      </c>
      <c r="AL72" s="351">
        <f t="shared" si="56"/>
        <v>0</v>
      </c>
      <c r="AM72" s="351">
        <f t="shared" si="56"/>
        <v>0</v>
      </c>
      <c r="AN72" s="351">
        <f t="shared" si="56"/>
        <v>0</v>
      </c>
      <c r="AO72" s="351">
        <f t="shared" si="56"/>
        <v>0</v>
      </c>
      <c r="AP72" s="351">
        <f t="shared" si="56"/>
        <v>0</v>
      </c>
      <c r="AQ72" s="351">
        <f t="shared" si="56"/>
        <v>0</v>
      </c>
      <c r="AR72" s="351"/>
      <c r="AS72" s="351"/>
      <c r="AT72" s="352"/>
      <c r="AU72" s="351">
        <f aca="true" t="shared" si="57" ref="AU72:BD72">AU20-AU68</f>
        <v>2.6193447411060333E-10</v>
      </c>
      <c r="AV72" s="351">
        <f t="shared" si="57"/>
        <v>0</v>
      </c>
      <c r="AW72" s="351">
        <f t="shared" si="57"/>
        <v>0</v>
      </c>
      <c r="AX72" s="351">
        <f t="shared" si="57"/>
        <v>0</v>
      </c>
      <c r="AY72" s="351">
        <f t="shared" si="57"/>
        <v>0</v>
      </c>
      <c r="AZ72" s="351">
        <f t="shared" si="57"/>
        <v>0</v>
      </c>
      <c r="BA72" s="351">
        <f t="shared" si="57"/>
        <v>0</v>
      </c>
      <c r="BB72" s="351">
        <f t="shared" si="57"/>
        <v>0</v>
      </c>
      <c r="BC72" s="351">
        <f t="shared" si="57"/>
        <v>0</v>
      </c>
      <c r="BD72" s="351">
        <f t="shared" si="57"/>
        <v>0</v>
      </c>
      <c r="BE72" s="351"/>
      <c r="BF72" s="353"/>
      <c r="BG72" s="351"/>
      <c r="BH72" s="351">
        <f>BH20-BH68</f>
        <v>0</v>
      </c>
      <c r="BI72" s="351">
        <f>BI20-BI68</f>
        <v>0</v>
      </c>
      <c r="BJ72" s="351">
        <f>BJ20-BJ68</f>
        <v>0</v>
      </c>
      <c r="BK72" s="351"/>
      <c r="BL72" s="351">
        <f>BL20-BL68</f>
        <v>0</v>
      </c>
      <c r="BM72" s="351">
        <f>BM20-BM68</f>
        <v>0</v>
      </c>
      <c r="BN72" s="351"/>
      <c r="BO72" s="351"/>
    </row>
    <row r="73" spans="1:6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1"/>
      <c r="R73" s="1"/>
      <c r="S73" s="1"/>
      <c r="T73" s="1"/>
      <c r="U73" s="1"/>
      <c r="V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304"/>
      <c r="BG73" s="1"/>
      <c r="BI73" s="1"/>
      <c r="BK73" s="8"/>
      <c r="BL73" s="1"/>
      <c r="BM73" s="1"/>
      <c r="BN73" s="1"/>
      <c r="BO73" s="1"/>
    </row>
    <row r="74" spans="1:67" ht="12.75">
      <c r="A74" s="4" t="s">
        <v>381</v>
      </c>
      <c r="B74" s="300">
        <f>B12-'Con P&amp;L'!C43</f>
        <v>0</v>
      </c>
      <c r="C74" s="300">
        <f>C12-'Con P&amp;L'!D43</f>
        <v>0</v>
      </c>
      <c r="D74" s="300">
        <f>D12-'Con P&amp;L'!E43</f>
        <v>0</v>
      </c>
      <c r="E74" s="300">
        <f>E12-'Con P&amp;L'!F43</f>
        <v>0</v>
      </c>
      <c r="F74" s="300">
        <f>F12-'Con P&amp;L'!G43</f>
        <v>0</v>
      </c>
      <c r="G74" s="300">
        <f>G12-'Con P&amp;L'!H43</f>
        <v>0</v>
      </c>
      <c r="H74" s="300">
        <f>H12-'Con P&amp;L'!I43</f>
        <v>0</v>
      </c>
      <c r="I74" s="300"/>
      <c r="J74" s="300"/>
      <c r="K74" s="300"/>
      <c r="L74" s="300">
        <f>L12-'Con P&amp;L'!M43</f>
        <v>0</v>
      </c>
      <c r="M74" s="300">
        <f>M12-'Con P&amp;L'!N43</f>
        <v>0</v>
      </c>
      <c r="N74" s="300">
        <f>N12-'Con P&amp;L'!O43</f>
        <v>0</v>
      </c>
      <c r="O74" s="300">
        <f>O12-'Con P&amp;L'!P43</f>
        <v>0</v>
      </c>
      <c r="P74" s="300">
        <f>P12-'Con P&amp;L'!Q43</f>
        <v>0</v>
      </c>
      <c r="Q74" s="300">
        <f>Q12-'Con P&amp;L'!R43</f>
        <v>0</v>
      </c>
      <c r="R74" s="300">
        <f>R12-'Con P&amp;L'!S43</f>
        <v>0</v>
      </c>
      <c r="S74" s="300">
        <f>S12-'Con P&amp;L'!T43</f>
        <v>0</v>
      </c>
      <c r="T74" s="300">
        <f>T12-'Con P&amp;L'!U43</f>
        <v>0</v>
      </c>
      <c r="U74" s="300">
        <f>U12-'Con P&amp;L'!V43</f>
        <v>0</v>
      </c>
      <c r="V74" s="300">
        <f>V12-'Con P&amp;L'!W43</f>
        <v>0</v>
      </c>
      <c r="W74" s="300">
        <f>W12-'Con P&amp;L'!X43</f>
        <v>0</v>
      </c>
      <c r="X74" s="300">
        <f>X12-'Con P&amp;L'!Y43</f>
        <v>0</v>
      </c>
      <c r="Y74" s="300">
        <f>Y12-'Con P&amp;L'!Z43</f>
        <v>0</v>
      </c>
      <c r="Z74" s="300">
        <f>Z12-'Con P&amp;L'!AA43</f>
        <v>0</v>
      </c>
      <c r="AA74" s="300">
        <f>AA12-'Con P&amp;L'!AB43</f>
        <v>0</v>
      </c>
      <c r="AB74" s="300"/>
      <c r="AC74" s="300"/>
      <c r="AD74" s="300"/>
      <c r="AE74" s="300">
        <f>AE12-'Con P&amp;L'!AE43</f>
        <v>0</v>
      </c>
      <c r="AF74" s="300">
        <f>AF12-'Con P&amp;L'!AF43</f>
        <v>0</v>
      </c>
      <c r="AG74" s="300">
        <f>AG12-'Con P&amp;L'!AG43</f>
        <v>0</v>
      </c>
      <c r="AH74" s="300">
        <f>AH12-'Con P&amp;L'!AH43</f>
        <v>0</v>
      </c>
      <c r="AI74" s="300">
        <f>AI12-'Con P&amp;L'!AI43</f>
        <v>0</v>
      </c>
      <c r="AJ74" s="300">
        <f>AJ12-'Con P&amp;L'!AJ43</f>
        <v>0</v>
      </c>
      <c r="AK74" s="300">
        <f>AK12-'Con P&amp;L'!AK43</f>
        <v>0</v>
      </c>
      <c r="AL74" s="300">
        <f>AL12-'Con P&amp;L'!AL43</f>
        <v>0</v>
      </c>
      <c r="AM74" s="300">
        <f>AM12-'Con P&amp;L'!AM43</f>
        <v>0</v>
      </c>
      <c r="AN74" s="300">
        <f>AN12-'Con P&amp;L'!AN43</f>
        <v>0</v>
      </c>
      <c r="AO74" s="300">
        <f>AO12-'Con P&amp;L'!AO43</f>
        <v>0</v>
      </c>
      <c r="AP74" s="300">
        <f>AP12-'Con P&amp;L'!AP43</f>
        <v>0</v>
      </c>
      <c r="AQ74" s="300">
        <f>AQ12-'Con P&amp;L'!AQ43</f>
        <v>0</v>
      </c>
      <c r="AR74" s="300"/>
      <c r="AS74" s="300"/>
      <c r="AT74" s="300"/>
      <c r="AU74" s="300">
        <f>AU12-'Con P&amp;L'!AT43</f>
        <v>0</v>
      </c>
      <c r="AV74" s="300">
        <f>AV12-'Con P&amp;L'!AU43</f>
        <v>0</v>
      </c>
      <c r="AW74" s="300">
        <f>AW12-'Con P&amp;L'!AV43</f>
        <v>0</v>
      </c>
      <c r="AX74" s="300">
        <f>AX12-'Con P&amp;L'!AW43</f>
        <v>0</v>
      </c>
      <c r="AY74" s="300">
        <f>AY12-'Con P&amp;L'!AX43</f>
        <v>0</v>
      </c>
      <c r="AZ74" s="300">
        <f>AZ12-'Con P&amp;L'!AY43</f>
        <v>0</v>
      </c>
      <c r="BA74" s="300">
        <f>BA12-'Con P&amp;L'!AZ43</f>
        <v>0</v>
      </c>
      <c r="BB74" s="300">
        <f>BB12-'Con P&amp;L'!BA43</f>
        <v>0</v>
      </c>
      <c r="BC74" s="300">
        <f>BC12-'Con P&amp;L'!BB43</f>
        <v>0</v>
      </c>
      <c r="BD74" s="300">
        <f>BD12-'Con P&amp;L'!BC43</f>
        <v>0</v>
      </c>
      <c r="BE74" s="300"/>
      <c r="BF74" s="331"/>
      <c r="BG74" s="300"/>
      <c r="BH74" s="300">
        <f>BH12-'Con P&amp;L'!BG43</f>
        <v>0</v>
      </c>
      <c r="BI74" s="300">
        <f>BI12-'Con P&amp;L'!BH43</f>
        <v>0</v>
      </c>
      <c r="BJ74" s="352">
        <f>BJ12-'Con P&amp;L'!BI43</f>
        <v>0</v>
      </c>
      <c r="BK74" s="300"/>
      <c r="BL74" s="300">
        <f>BL12-'Con P&amp;L'!BK43</f>
        <v>0</v>
      </c>
      <c r="BM74" s="300">
        <f>BM12-'Con P&amp;L'!BL43</f>
        <v>0</v>
      </c>
      <c r="BN74" s="156"/>
      <c r="BO74" s="156"/>
    </row>
    <row r="75" spans="2:67" ht="12.75"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31"/>
      <c r="BG75" s="300"/>
      <c r="BH75" s="300"/>
      <c r="BI75" s="300"/>
      <c r="BJ75" s="300"/>
      <c r="BK75" s="300"/>
      <c r="BL75" s="300"/>
      <c r="BM75" s="300"/>
      <c r="BN75" s="156"/>
      <c r="BO75" s="156"/>
    </row>
    <row r="77" spans="1:69" ht="16.5" customHeight="1">
      <c r="A77" s="41"/>
      <c r="B77" s="41"/>
      <c r="C77" s="41"/>
      <c r="D77" s="41"/>
      <c r="E77" s="41"/>
      <c r="F77" s="41"/>
      <c r="G77" s="41"/>
      <c r="H77" s="41"/>
      <c r="I77" s="341"/>
      <c r="J77" s="341"/>
      <c r="K77" s="41"/>
      <c r="L77" s="41"/>
      <c r="M77" s="41"/>
      <c r="N77" s="342"/>
      <c r="O77" s="341"/>
      <c r="P77" s="362"/>
      <c r="Q77" s="41"/>
      <c r="R77" s="41"/>
      <c r="S77" s="41"/>
      <c r="T77" s="342"/>
      <c r="U77" s="41"/>
      <c r="V77" s="41"/>
      <c r="W77" s="362"/>
      <c r="X77" s="41"/>
      <c r="Y77" s="41"/>
      <c r="Z77" s="41"/>
      <c r="AA77" s="41"/>
      <c r="AB77" s="341"/>
      <c r="AC77" s="41"/>
      <c r="AD77" s="41"/>
      <c r="AE77" s="41"/>
      <c r="AF77" s="41"/>
      <c r="AG77" s="41"/>
      <c r="AH77" s="41"/>
      <c r="AI77" s="341"/>
      <c r="AJ77" s="41"/>
      <c r="AK77" s="41"/>
      <c r="AL77" s="41"/>
      <c r="AM77" s="41"/>
      <c r="AN77" s="41"/>
      <c r="AO77" s="41"/>
      <c r="AP77" s="41"/>
      <c r="AQ77" s="41"/>
      <c r="AR77" s="341"/>
      <c r="AS77" s="41"/>
      <c r="AT77" s="41"/>
      <c r="AU77" s="41"/>
      <c r="AW77" s="41"/>
      <c r="AX77" s="41"/>
      <c r="AY77" s="341"/>
      <c r="AZ77" s="41"/>
      <c r="BA77" s="41"/>
      <c r="BB77" s="41"/>
      <c r="BC77" s="41"/>
      <c r="BD77" s="41"/>
      <c r="BE77" s="341"/>
      <c r="BF77" s="342"/>
      <c r="BG77" s="41"/>
      <c r="BH77" s="362"/>
      <c r="BI77" s="41"/>
      <c r="BJ77" s="362">
        <f>57000000</f>
        <v>57000000</v>
      </c>
      <c r="BK77" s="41"/>
      <c r="BL77" s="41"/>
      <c r="BM77" s="41"/>
      <c r="BN77" s="341"/>
      <c r="BO77" s="341"/>
      <c r="BQ77" s="37"/>
    </row>
    <row r="81" spans="2:4" ht="15.75">
      <c r="B81" s="399"/>
      <c r="C81" s="400"/>
      <c r="D81" s="402"/>
    </row>
    <row r="83" ht="12.75">
      <c r="D83" s="401"/>
    </row>
    <row r="85" spans="1:67" s="18" customFormat="1" ht="16.5" customHeight="1">
      <c r="A85" s="9"/>
      <c r="B85" s="10" t="s">
        <v>387</v>
      </c>
      <c r="C85" s="726" t="s">
        <v>1400</v>
      </c>
      <c r="D85" s="727"/>
      <c r="E85" s="11"/>
      <c r="F85" s="11"/>
      <c r="G85" s="11"/>
      <c r="H85" s="11"/>
      <c r="I85" s="12"/>
      <c r="J85" s="12"/>
      <c r="K85" s="9"/>
      <c r="L85" s="13" t="s">
        <v>1401</v>
      </c>
      <c r="M85" s="13" t="s">
        <v>1401</v>
      </c>
      <c r="N85" s="14" t="s">
        <v>1403</v>
      </c>
      <c r="O85" s="14" t="s">
        <v>1403</v>
      </c>
      <c r="P85" s="291" t="s">
        <v>1404</v>
      </c>
      <c r="Q85" s="14" t="s">
        <v>1404</v>
      </c>
      <c r="R85" s="99" t="s">
        <v>1402</v>
      </c>
      <c r="S85" s="14" t="s">
        <v>1411</v>
      </c>
      <c r="T85" s="14" t="s">
        <v>1418</v>
      </c>
      <c r="U85" s="14" t="s">
        <v>1407</v>
      </c>
      <c r="V85" s="14" t="s">
        <v>1406</v>
      </c>
      <c r="W85" s="291" t="s">
        <v>1416</v>
      </c>
      <c r="X85" s="14" t="s">
        <v>1405</v>
      </c>
      <c r="Y85" s="14" t="s">
        <v>1408</v>
      </c>
      <c r="Z85" s="14" t="s">
        <v>1408</v>
      </c>
      <c r="AA85" s="11"/>
      <c r="AB85" s="12"/>
      <c r="AC85" s="15"/>
      <c r="AD85" s="9"/>
      <c r="AE85" s="13" t="s">
        <v>1409</v>
      </c>
      <c r="AF85" s="13" t="s">
        <v>1410</v>
      </c>
      <c r="AG85" s="13" t="s">
        <v>1410</v>
      </c>
      <c r="AH85" s="13" t="s">
        <v>1410</v>
      </c>
      <c r="AI85" s="13" t="s">
        <v>1410</v>
      </c>
      <c r="AJ85" s="13" t="s">
        <v>1410</v>
      </c>
      <c r="AK85" s="13" t="s">
        <v>1410</v>
      </c>
      <c r="AL85" s="13" t="s">
        <v>1410</v>
      </c>
      <c r="AM85" s="14" t="s">
        <v>1401</v>
      </c>
      <c r="AN85" s="14" t="s">
        <v>1412</v>
      </c>
      <c r="AO85" s="14" t="s">
        <v>1413</v>
      </c>
      <c r="AP85" s="14" t="s">
        <v>1414</v>
      </c>
      <c r="AQ85" s="11"/>
      <c r="AR85" s="12"/>
      <c r="AS85" s="15"/>
      <c r="AT85" s="9"/>
      <c r="AU85" s="16" t="s">
        <v>1415</v>
      </c>
      <c r="AV85" s="4"/>
      <c r="AW85" s="14" t="s">
        <v>1416</v>
      </c>
      <c r="AX85" s="14" t="s">
        <v>1416</v>
      </c>
      <c r="AY85" s="14" t="s">
        <v>1417</v>
      </c>
      <c r="AZ85" s="14" t="s">
        <v>1404</v>
      </c>
      <c r="BA85" s="14" t="s">
        <v>1404</v>
      </c>
      <c r="BB85" s="14" t="s">
        <v>1404</v>
      </c>
      <c r="BC85" s="14" t="s">
        <v>1419</v>
      </c>
      <c r="BD85" s="11"/>
      <c r="BE85" s="12"/>
      <c r="BF85" s="328"/>
      <c r="BG85" s="9"/>
      <c r="BH85" s="291" t="s">
        <v>1172</v>
      </c>
      <c r="BI85" s="13" t="s">
        <v>1420</v>
      </c>
      <c r="BJ85" s="100" t="s">
        <v>1416</v>
      </c>
      <c r="BK85" s="17"/>
      <c r="BL85" s="11"/>
      <c r="BM85" s="11"/>
      <c r="BN85" s="12"/>
      <c r="BO85" s="12"/>
    </row>
    <row r="86" spans="1:67" s="18" customFormat="1" ht="16.5" customHeight="1">
      <c r="A86" s="19"/>
      <c r="B86" s="20" t="s">
        <v>388</v>
      </c>
      <c r="C86" s="21" t="s">
        <v>1425</v>
      </c>
      <c r="D86" s="21" t="s">
        <v>1426</v>
      </c>
      <c r="E86" s="20" t="s">
        <v>1427</v>
      </c>
      <c r="F86" s="20" t="s">
        <v>1428</v>
      </c>
      <c r="G86" s="20" t="s">
        <v>1429</v>
      </c>
      <c r="H86" s="20" t="s">
        <v>1430</v>
      </c>
      <c r="I86" s="12"/>
      <c r="J86" s="12"/>
      <c r="K86" s="19"/>
      <c r="L86" s="22" t="s">
        <v>1431</v>
      </c>
      <c r="M86" s="22" t="s">
        <v>1432</v>
      </c>
      <c r="N86" s="23" t="s">
        <v>1439</v>
      </c>
      <c r="O86" s="23" t="s">
        <v>1435</v>
      </c>
      <c r="P86" s="292" t="s">
        <v>23</v>
      </c>
      <c r="Q86" s="23" t="s">
        <v>1436</v>
      </c>
      <c r="R86" s="106" t="s">
        <v>1433</v>
      </c>
      <c r="S86" s="23" t="s">
        <v>1449</v>
      </c>
      <c r="T86" s="23" t="s">
        <v>1432</v>
      </c>
      <c r="U86" s="23" t="s">
        <v>1440</v>
      </c>
      <c r="V86" s="23" t="s">
        <v>1438</v>
      </c>
      <c r="W86" s="292" t="s">
        <v>1454</v>
      </c>
      <c r="X86" s="23" t="s">
        <v>1437</v>
      </c>
      <c r="Y86" s="23" t="s">
        <v>385</v>
      </c>
      <c r="Z86" s="23" t="s">
        <v>384</v>
      </c>
      <c r="AA86" s="20" t="s">
        <v>1441</v>
      </c>
      <c r="AB86" s="12"/>
      <c r="AC86" s="15"/>
      <c r="AD86" s="19"/>
      <c r="AE86" s="22"/>
      <c r="AF86" s="22" t="s">
        <v>1442</v>
      </c>
      <c r="AG86" s="23" t="s">
        <v>1443</v>
      </c>
      <c r="AH86" s="23" t="s">
        <v>1444</v>
      </c>
      <c r="AI86" s="23" t="s">
        <v>1445</v>
      </c>
      <c r="AJ86" s="23" t="s">
        <v>1446</v>
      </c>
      <c r="AK86" s="23" t="s">
        <v>1447</v>
      </c>
      <c r="AL86" s="23" t="s">
        <v>1448</v>
      </c>
      <c r="AM86" s="23" t="s">
        <v>1434</v>
      </c>
      <c r="AN86" s="23" t="s">
        <v>1450</v>
      </c>
      <c r="AO86" s="23" t="s">
        <v>1451</v>
      </c>
      <c r="AP86" s="23" t="s">
        <v>1452</v>
      </c>
      <c r="AQ86" s="20" t="s">
        <v>1441</v>
      </c>
      <c r="AR86" s="12"/>
      <c r="AS86" s="15"/>
      <c r="AT86" s="19"/>
      <c r="AU86" s="22" t="s">
        <v>1453</v>
      </c>
      <c r="AV86" s="4"/>
      <c r="AW86" s="23" t="s">
        <v>1460</v>
      </c>
      <c r="AX86" s="23" t="s">
        <v>1461</v>
      </c>
      <c r="AY86" s="23" t="s">
        <v>1462</v>
      </c>
      <c r="AZ86" s="23" t="s">
        <v>1463</v>
      </c>
      <c r="BA86" s="23" t="s">
        <v>1444</v>
      </c>
      <c r="BB86" s="23" t="s">
        <v>1464</v>
      </c>
      <c r="BC86" s="23" t="s">
        <v>1465</v>
      </c>
      <c r="BD86" s="20" t="s">
        <v>1441</v>
      </c>
      <c r="BE86" s="12"/>
      <c r="BF86" s="328"/>
      <c r="BG86" s="19"/>
      <c r="BH86" s="292" t="s">
        <v>1466</v>
      </c>
      <c r="BI86" s="22" t="s">
        <v>722</v>
      </c>
      <c r="BJ86" s="106" t="s">
        <v>28</v>
      </c>
      <c r="BK86" s="24"/>
      <c r="BL86" s="20"/>
      <c r="BM86" s="20" t="s">
        <v>1441</v>
      </c>
      <c r="BN86" s="12"/>
      <c r="BO86" s="12"/>
    </row>
    <row r="88" spans="1:27" ht="12.75">
      <c r="A88" s="4" t="s">
        <v>1203</v>
      </c>
      <c r="L88" s="300">
        <f>L48-'[2]Con B&amp;S'!L48</f>
        <v>-44587.5</v>
      </c>
      <c r="M88" s="300">
        <f>M48-'[2]Con B&amp;S'!M48</f>
        <v>1530.3999999999942</v>
      </c>
      <c r="N88" s="300">
        <f>N48-'[2]Con B&amp;S'!N48</f>
        <v>0</v>
      </c>
      <c r="O88" s="300">
        <f>O48-'[2]Con B&amp;S'!O48</f>
        <v>0</v>
      </c>
      <c r="P88" s="300">
        <f>P48-'[2]Con B&amp;S'!P48</f>
        <v>-4932437.8100000005</v>
      </c>
      <c r="Q88" s="300">
        <f>Q48-'[2]Con B&amp;S'!Q48</f>
        <v>-2158784.79</v>
      </c>
      <c r="R88" s="300">
        <f>R48-'[2]Con B&amp;S'!R48</f>
        <v>10080243.399999999</v>
      </c>
      <c r="S88" s="300">
        <f>S48-'[2]Con B&amp;S'!S48</f>
        <v>0</v>
      </c>
      <c r="T88" s="300">
        <f>T48-'[2]Con B&amp;S'!T48</f>
        <v>-369194</v>
      </c>
      <c r="U88" s="300">
        <f>U48-'[2]Con B&amp;S'!U48</f>
        <v>-1543844.6499999994</v>
      </c>
      <c r="V88" s="300">
        <f>V48-'[2]Con B&amp;S'!V48</f>
        <v>-1411838.5</v>
      </c>
      <c r="W88" s="300">
        <f>W48-'[2]Con B&amp;S'!W48</f>
        <v>0</v>
      </c>
      <c r="X88" s="300">
        <f>X48-'[2]Con B&amp;S'!X48</f>
        <v>0</v>
      </c>
      <c r="Y88" s="300">
        <f>Y48-'[2]Con B&amp;S'!Y48</f>
        <v>0</v>
      </c>
      <c r="Z88" s="300">
        <f>Z48-'[2]Con B&amp;S'!Z48</f>
        <v>0</v>
      </c>
      <c r="AA88" s="300">
        <f>AA48-'[2]Con B&amp;S'!AA48</f>
        <v>-378913.450000003</v>
      </c>
    </row>
    <row r="91" spans="1:62" ht="12.75">
      <c r="A91" s="4" t="s">
        <v>903</v>
      </c>
      <c r="B91" s="300">
        <f aca="true" t="shared" si="58" ref="B91:H91">SUM(B22:B28,B42)</f>
        <v>235297126</v>
      </c>
      <c r="C91" s="300">
        <f t="shared" si="58"/>
        <v>454968291.63</v>
      </c>
      <c r="D91" s="300">
        <f t="shared" si="58"/>
        <v>49794236.21</v>
      </c>
      <c r="E91" s="300">
        <f t="shared" si="58"/>
        <v>740059653.8400002</v>
      </c>
      <c r="F91" s="300">
        <f t="shared" si="58"/>
        <v>212369745.678</v>
      </c>
      <c r="G91" s="300">
        <f t="shared" si="58"/>
        <v>258329108</v>
      </c>
      <c r="H91" s="300">
        <f t="shared" si="58"/>
        <v>565745796.958</v>
      </c>
      <c r="L91" s="300">
        <f aca="true" t="shared" si="59" ref="L91:AA91">SUM(L22:L28,L42)</f>
        <v>46627561.3</v>
      </c>
      <c r="M91" s="300">
        <f t="shared" si="59"/>
        <v>108733018.8</v>
      </c>
      <c r="N91" s="300">
        <f t="shared" si="59"/>
        <v>18097938</v>
      </c>
      <c r="O91" s="300">
        <f t="shared" si="59"/>
        <v>391332</v>
      </c>
      <c r="P91" s="300">
        <f t="shared" si="59"/>
        <v>8027255</v>
      </c>
      <c r="Q91" s="300">
        <f t="shared" si="59"/>
        <v>1071074.4000000001</v>
      </c>
      <c r="R91" s="300">
        <f t="shared" si="59"/>
        <v>163165904.5</v>
      </c>
      <c r="S91" s="300">
        <f t="shared" si="59"/>
        <v>1008898</v>
      </c>
      <c r="T91" s="300">
        <f t="shared" si="59"/>
        <v>2801698</v>
      </c>
      <c r="U91" s="300">
        <f t="shared" si="59"/>
        <v>5153692.510000001</v>
      </c>
      <c r="V91" s="300">
        <f t="shared" si="59"/>
        <v>45072352</v>
      </c>
      <c r="W91" s="300">
        <f t="shared" si="59"/>
        <v>32793283</v>
      </c>
      <c r="X91" s="300">
        <f t="shared" si="59"/>
        <v>527218</v>
      </c>
      <c r="Y91" s="300">
        <f t="shared" si="59"/>
        <v>15706304.74</v>
      </c>
      <c r="Z91" s="300">
        <f t="shared" si="59"/>
        <v>5790761.38</v>
      </c>
      <c r="AA91" s="300">
        <f t="shared" si="59"/>
        <v>454968291.63</v>
      </c>
      <c r="AE91" s="300">
        <f aca="true" t="shared" si="60" ref="AE91:AQ91">SUM(AE22:AE28,AE42)</f>
        <v>81663.06999999999</v>
      </c>
      <c r="AF91" s="300">
        <f t="shared" si="60"/>
        <v>19.2</v>
      </c>
      <c r="AG91" s="300">
        <f t="shared" si="60"/>
        <v>7240431.75</v>
      </c>
      <c r="AH91" s="300">
        <f t="shared" si="60"/>
        <v>2676042.4</v>
      </c>
      <c r="AI91" s="300">
        <f t="shared" si="60"/>
        <v>2</v>
      </c>
      <c r="AJ91" s="300">
        <f t="shared" si="60"/>
        <v>2</v>
      </c>
      <c r="AK91" s="300">
        <f t="shared" si="60"/>
        <v>2.5</v>
      </c>
      <c r="AL91" s="300">
        <f t="shared" si="60"/>
        <v>2.5</v>
      </c>
      <c r="AM91" s="300">
        <f t="shared" si="60"/>
        <v>5633.5</v>
      </c>
      <c r="AN91" s="300">
        <f t="shared" si="60"/>
        <v>2182001.6</v>
      </c>
      <c r="AO91" s="300">
        <f t="shared" si="60"/>
        <v>425002</v>
      </c>
      <c r="AP91" s="300">
        <f t="shared" si="60"/>
        <v>3095502.22</v>
      </c>
      <c r="AQ91" s="300">
        <f t="shared" si="60"/>
        <v>15706304.74</v>
      </c>
      <c r="AU91" s="300">
        <f>SUM(AU22:AU28,AU42)</f>
        <v>5382896.88</v>
      </c>
      <c r="AW91" s="300">
        <f aca="true" t="shared" si="61" ref="AW91:BD91">SUM(AW22:AW28,AW42)</f>
        <v>3</v>
      </c>
      <c r="AX91" s="300">
        <f t="shared" si="61"/>
        <v>2</v>
      </c>
      <c r="AY91" s="300">
        <f t="shared" si="61"/>
        <v>2</v>
      </c>
      <c r="AZ91" s="300">
        <f t="shared" si="61"/>
        <v>0</v>
      </c>
      <c r="BA91" s="300">
        <f t="shared" si="61"/>
        <v>2</v>
      </c>
      <c r="BB91" s="300">
        <f t="shared" si="61"/>
        <v>0</v>
      </c>
      <c r="BC91" s="300">
        <f t="shared" si="61"/>
        <v>397948.5</v>
      </c>
      <c r="BD91" s="300">
        <f t="shared" si="61"/>
        <v>5790761.38</v>
      </c>
      <c r="BG91" s="300">
        <f>SUM(BG22:BG28,BG42)</f>
        <v>0</v>
      </c>
      <c r="BH91" s="300">
        <f>SUM(BH22:BH28,BH42)</f>
        <v>212490.93999999997</v>
      </c>
      <c r="BI91" s="300">
        <f>SUM(BI22:BI28,BI42)</f>
        <v>3581391</v>
      </c>
      <c r="BJ91" s="300">
        <f>SUM(BJ22:BJ28,BJ42)</f>
        <v>46000354.27</v>
      </c>
    </row>
    <row r="93" ht="12.75">
      <c r="A93" s="534" t="s">
        <v>456</v>
      </c>
    </row>
    <row r="94" spans="1:2" ht="12.75">
      <c r="A94" s="4" t="s">
        <v>899</v>
      </c>
      <c r="B94" s="300">
        <f>P91+R91+V91</f>
        <v>216265511.5</v>
      </c>
    </row>
    <row r="95" spans="1:2" ht="12.75">
      <c r="A95" s="4" t="s">
        <v>904</v>
      </c>
      <c r="B95" s="300">
        <f>B99-B94-B96-B97-B98</f>
        <v>326517391.118</v>
      </c>
    </row>
    <row r="96" spans="1:2" ht="12.75">
      <c r="A96" s="4" t="s">
        <v>900</v>
      </c>
      <c r="B96" s="300">
        <f>BI91</f>
        <v>3581391</v>
      </c>
    </row>
    <row r="97" spans="1:2" ht="12.75">
      <c r="A97" s="4" t="s">
        <v>901</v>
      </c>
      <c r="B97" s="300">
        <f>N91</f>
        <v>18097938</v>
      </c>
    </row>
    <row r="98" spans="1:3" ht="12.75">
      <c r="A98" s="4" t="s">
        <v>878</v>
      </c>
      <c r="B98" s="300">
        <f>BH91+Q91</f>
        <v>1283565.34</v>
      </c>
      <c r="C98" s="300"/>
    </row>
    <row r="99" ht="12.75">
      <c r="B99" s="398">
        <f>H91</f>
        <v>565745796.958</v>
      </c>
    </row>
    <row r="100" ht="12.75">
      <c r="B100" s="300"/>
    </row>
    <row r="102" spans="1:65" ht="12.75">
      <c r="A102" s="4" t="s">
        <v>486</v>
      </c>
      <c r="B102" s="300">
        <f>B50</f>
        <v>375970907</v>
      </c>
      <c r="C102" s="300">
        <f aca="true" t="shared" si="62" ref="C102:BM103">C50</f>
        <v>254886671.5</v>
      </c>
      <c r="D102" s="300">
        <f t="shared" si="62"/>
        <v>69231830.34</v>
      </c>
      <c r="E102" s="300">
        <f t="shared" si="62"/>
        <v>700089408.84</v>
      </c>
      <c r="F102" s="300">
        <f t="shared" si="62"/>
        <v>0</v>
      </c>
      <c r="G102" s="300">
        <f t="shared" si="62"/>
        <v>0</v>
      </c>
      <c r="H102" s="300">
        <f t="shared" si="62"/>
        <v>700089408.84</v>
      </c>
      <c r="I102" s="300">
        <f t="shared" si="62"/>
        <v>0</v>
      </c>
      <c r="J102" s="300">
        <f t="shared" si="62"/>
        <v>0</v>
      </c>
      <c r="K102" s="300" t="str">
        <f t="shared" si="62"/>
        <v>     Term Loans</v>
      </c>
      <c r="L102" s="300">
        <f t="shared" si="62"/>
        <v>0</v>
      </c>
      <c r="M102" s="300">
        <f t="shared" si="62"/>
        <v>0</v>
      </c>
      <c r="N102" s="300">
        <f t="shared" si="62"/>
        <v>81083333</v>
      </c>
      <c r="O102" s="300">
        <f t="shared" si="62"/>
        <v>0</v>
      </c>
      <c r="P102" s="300">
        <f t="shared" si="62"/>
        <v>0</v>
      </c>
      <c r="Q102" s="300">
        <f t="shared" si="62"/>
        <v>0</v>
      </c>
      <c r="R102" s="300">
        <f t="shared" si="62"/>
        <v>116669877</v>
      </c>
      <c r="S102" s="300">
        <f t="shared" si="62"/>
        <v>0</v>
      </c>
      <c r="T102" s="300">
        <f t="shared" si="62"/>
        <v>0</v>
      </c>
      <c r="U102" s="300">
        <f t="shared" si="62"/>
        <v>0</v>
      </c>
      <c r="V102" s="300">
        <f t="shared" si="62"/>
        <v>54300145.5</v>
      </c>
      <c r="W102" s="300">
        <f t="shared" si="62"/>
        <v>0</v>
      </c>
      <c r="X102" s="300">
        <f t="shared" si="62"/>
        <v>0</v>
      </c>
      <c r="Y102" s="300">
        <f t="shared" si="62"/>
        <v>2833316</v>
      </c>
      <c r="Z102" s="300">
        <f t="shared" si="62"/>
        <v>0</v>
      </c>
      <c r="AA102" s="300">
        <f t="shared" si="62"/>
        <v>254886671.5</v>
      </c>
      <c r="AB102" s="300">
        <f t="shared" si="62"/>
        <v>0</v>
      </c>
      <c r="AC102" s="300">
        <f t="shared" si="62"/>
        <v>0</v>
      </c>
      <c r="AD102" s="300" t="str">
        <f t="shared" si="62"/>
        <v>     Term Loans</v>
      </c>
      <c r="AE102" s="300">
        <f t="shared" si="62"/>
        <v>0</v>
      </c>
      <c r="AF102" s="300">
        <f t="shared" si="62"/>
        <v>0</v>
      </c>
      <c r="AG102" s="300">
        <f t="shared" si="62"/>
        <v>0</v>
      </c>
      <c r="AH102" s="300">
        <f t="shared" si="62"/>
        <v>2833316</v>
      </c>
      <c r="AI102" s="300">
        <f t="shared" si="62"/>
        <v>0</v>
      </c>
      <c r="AJ102" s="300">
        <f t="shared" si="62"/>
        <v>0</v>
      </c>
      <c r="AK102" s="300">
        <f t="shared" si="62"/>
        <v>0</v>
      </c>
      <c r="AL102" s="300">
        <f t="shared" si="62"/>
        <v>0</v>
      </c>
      <c r="AM102" s="300">
        <f t="shared" si="62"/>
        <v>0</v>
      </c>
      <c r="AN102" s="300">
        <f t="shared" si="62"/>
        <v>0</v>
      </c>
      <c r="AO102" s="300">
        <f t="shared" si="62"/>
        <v>0</v>
      </c>
      <c r="AP102" s="300">
        <f t="shared" si="62"/>
        <v>0</v>
      </c>
      <c r="AQ102" s="300">
        <f t="shared" si="62"/>
        <v>2833316</v>
      </c>
      <c r="AR102" s="300">
        <f t="shared" si="62"/>
        <v>0</v>
      </c>
      <c r="AS102" s="300">
        <f t="shared" si="62"/>
        <v>0</v>
      </c>
      <c r="AT102" s="300" t="str">
        <f t="shared" si="62"/>
        <v>     Term Loans</v>
      </c>
      <c r="AU102" s="300">
        <f t="shared" si="62"/>
        <v>0</v>
      </c>
      <c r="AW102" s="300">
        <f t="shared" si="62"/>
        <v>0</v>
      </c>
      <c r="AX102" s="300">
        <f t="shared" si="62"/>
        <v>0</v>
      </c>
      <c r="AY102" s="300">
        <f t="shared" si="62"/>
        <v>0</v>
      </c>
      <c r="AZ102" s="300">
        <f t="shared" si="62"/>
        <v>0</v>
      </c>
      <c r="BA102" s="300">
        <f t="shared" si="62"/>
        <v>0</v>
      </c>
      <c r="BB102" s="300">
        <f t="shared" si="62"/>
        <v>0</v>
      </c>
      <c r="BC102" s="300">
        <f t="shared" si="62"/>
        <v>0</v>
      </c>
      <c r="BD102" s="300">
        <f t="shared" si="62"/>
        <v>0</v>
      </c>
      <c r="BE102" s="300">
        <f t="shared" si="62"/>
        <v>0</v>
      </c>
      <c r="BF102" s="300">
        <f t="shared" si="62"/>
        <v>0</v>
      </c>
      <c r="BG102" s="300" t="str">
        <f t="shared" si="62"/>
        <v>     Term Loans</v>
      </c>
      <c r="BH102" s="300">
        <f t="shared" si="62"/>
        <v>176962</v>
      </c>
      <c r="BI102" s="300">
        <f t="shared" si="62"/>
        <v>283929</v>
      </c>
      <c r="BJ102" s="300">
        <f t="shared" si="62"/>
        <v>68770939.34</v>
      </c>
      <c r="BK102" s="300">
        <f t="shared" si="62"/>
        <v>0</v>
      </c>
      <c r="BL102" s="300">
        <f t="shared" si="62"/>
        <v>0</v>
      </c>
      <c r="BM102" s="300">
        <f t="shared" si="62"/>
        <v>69231830.34</v>
      </c>
    </row>
    <row r="103" spans="1:67" s="312" customFormat="1" ht="12.75">
      <c r="A103" s="355" t="s">
        <v>19</v>
      </c>
      <c r="B103" s="29">
        <f>89015210</f>
        <v>89015210</v>
      </c>
      <c r="C103" s="355"/>
      <c r="D103" s="355"/>
      <c r="E103" s="300">
        <f t="shared" si="62"/>
        <v>446535.5</v>
      </c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180"/>
      <c r="Q103" s="355"/>
      <c r="R103" s="355">
        <f>19546968.19+494354.85+7161340.2+2378845.56</f>
        <v>29581508.8</v>
      </c>
      <c r="S103" s="355"/>
      <c r="T103" s="355"/>
      <c r="U103" s="355"/>
      <c r="V103" s="355"/>
      <c r="W103" s="180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4"/>
      <c r="AW103" s="355"/>
      <c r="AX103" s="355"/>
      <c r="AY103" s="355"/>
      <c r="AZ103" s="355"/>
      <c r="BA103" s="355"/>
      <c r="BB103" s="355"/>
      <c r="BC103" s="355"/>
      <c r="BD103" s="355"/>
      <c r="BE103" s="355"/>
      <c r="BF103" s="356"/>
      <c r="BG103" s="355"/>
      <c r="BH103" s="180"/>
      <c r="BI103" s="355"/>
      <c r="BJ103" s="180">
        <v>12804890.04</v>
      </c>
      <c r="BK103" s="355"/>
      <c r="BL103" s="355"/>
      <c r="BM103" s="355"/>
      <c r="BN103" s="355"/>
      <c r="BO103" s="355"/>
    </row>
    <row r="104" ht="12.75">
      <c r="BJ104" s="313"/>
    </row>
    <row r="105" ht="12.75">
      <c r="A105" s="642" t="s">
        <v>488</v>
      </c>
    </row>
    <row r="106" spans="1:3" ht="12.75">
      <c r="A106" s="4" t="s">
        <v>489</v>
      </c>
      <c r="C106" s="352">
        <f>12500000+2378845.56</f>
        <v>14878845.56</v>
      </c>
    </row>
    <row r="107" spans="1:3" ht="12.75">
      <c r="A107" s="4" t="s">
        <v>1017</v>
      </c>
      <c r="C107" s="352">
        <v>2982981.02</v>
      </c>
    </row>
    <row r="108" ht="12.75">
      <c r="A108" s="4" t="s">
        <v>490</v>
      </c>
    </row>
    <row r="109" spans="1:3" ht="12.75">
      <c r="A109" s="4" t="s">
        <v>491</v>
      </c>
      <c r="C109" s="352">
        <v>1746777.21</v>
      </c>
    </row>
    <row r="110" spans="1:3" ht="12.75">
      <c r="A110" s="4" t="s">
        <v>492</v>
      </c>
      <c r="C110" s="352">
        <v>2393628.94</v>
      </c>
    </row>
    <row r="111" spans="1:3" ht="12.75">
      <c r="A111" s="4" t="s">
        <v>493</v>
      </c>
      <c r="C111" s="352">
        <v>5837941.78</v>
      </c>
    </row>
    <row r="112" spans="1:4" ht="12.75">
      <c r="A112" s="4" t="s">
        <v>494</v>
      </c>
      <c r="C112" s="352">
        <v>12805412.45</v>
      </c>
      <c r="D112" s="332"/>
    </row>
    <row r="113" spans="1:3" ht="12.75">
      <c r="A113" s="4" t="s">
        <v>495</v>
      </c>
      <c r="C113" s="352">
        <v>3643594.6526027396</v>
      </c>
    </row>
    <row r="114" ht="12.75">
      <c r="C114" s="538">
        <f>SUM(C106:C113)</f>
        <v>44289181.61260275</v>
      </c>
    </row>
    <row r="116" ht="12.75">
      <c r="A116" s="4" t="s">
        <v>895</v>
      </c>
    </row>
    <row r="122" ht="12.75">
      <c r="A122" s="376" t="s">
        <v>396</v>
      </c>
    </row>
    <row r="123" spans="1:69" ht="16.5" customHeight="1">
      <c r="A123" s="5" t="s">
        <v>1421</v>
      </c>
      <c r="B123" s="29">
        <v>0</v>
      </c>
      <c r="C123" s="26">
        <v>34295052</v>
      </c>
      <c r="D123" s="26">
        <v>221521.44</v>
      </c>
      <c r="E123" s="26">
        <v>34516573.44</v>
      </c>
      <c r="F123" s="26">
        <v>0</v>
      </c>
      <c r="G123" s="26">
        <v>0</v>
      </c>
      <c r="H123" s="26">
        <v>34516573.44</v>
      </c>
      <c r="I123" s="27"/>
      <c r="J123" s="27"/>
      <c r="K123" s="29" t="s">
        <v>396</v>
      </c>
      <c r="L123" s="26">
        <v>47559</v>
      </c>
      <c r="M123" s="26">
        <v>141695</v>
      </c>
      <c r="N123" s="26">
        <v>0</v>
      </c>
      <c r="O123" s="26">
        <v>61797</v>
      </c>
      <c r="P123" s="281">
        <v>9372713</v>
      </c>
      <c r="Q123" s="26">
        <v>0</v>
      </c>
      <c r="R123" s="26">
        <v>3704839</v>
      </c>
      <c r="S123" s="26">
        <v>0</v>
      </c>
      <c r="T123" s="26">
        <v>0</v>
      </c>
      <c r="U123" s="26">
        <v>2395548</v>
      </c>
      <c r="V123" s="26">
        <v>17206826</v>
      </c>
      <c r="W123" s="281">
        <v>0</v>
      </c>
      <c r="X123" s="26">
        <v>9068</v>
      </c>
      <c r="Y123" s="26">
        <v>0</v>
      </c>
      <c r="Z123" s="26">
        <v>0</v>
      </c>
      <c r="AA123" s="26">
        <v>34295052</v>
      </c>
      <c r="AB123" s="27"/>
      <c r="AC123" s="28"/>
      <c r="AD123" s="29" t="s">
        <v>396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7"/>
      <c r="AS123" s="28"/>
      <c r="AT123" s="29" t="s">
        <v>396</v>
      </c>
      <c r="AU123" s="26">
        <v>0</v>
      </c>
      <c r="AW123" s="26">
        <v>0</v>
      </c>
      <c r="AX123" s="26">
        <v>0</v>
      </c>
      <c r="AY123" s="26">
        <v>0</v>
      </c>
      <c r="AZ123" s="26">
        <v>0</v>
      </c>
      <c r="BA123" s="26">
        <v>0</v>
      </c>
      <c r="BB123" s="26">
        <v>0</v>
      </c>
      <c r="BC123" s="26">
        <v>0</v>
      </c>
      <c r="BD123" s="26">
        <v>0</v>
      </c>
      <c r="BE123" s="27"/>
      <c r="BF123" s="329"/>
      <c r="BG123" s="29" t="s">
        <v>396</v>
      </c>
      <c r="BH123" s="281">
        <v>187244.08</v>
      </c>
      <c r="BI123" s="26">
        <v>34277.36</v>
      </c>
      <c r="BJ123" s="273">
        <v>0</v>
      </c>
      <c r="BK123" s="26"/>
      <c r="BL123" s="26">
        <v>0</v>
      </c>
      <c r="BM123" s="26">
        <v>221521.44</v>
      </c>
      <c r="BN123" s="27"/>
      <c r="BO123" s="27"/>
      <c r="BQ123" s="37"/>
    </row>
    <row r="124" spans="1:67" ht="16.5" customHeight="1">
      <c r="A124" s="4" t="s">
        <v>1422</v>
      </c>
      <c r="B124" s="26">
        <v>0</v>
      </c>
      <c r="C124" s="26">
        <f>AA124</f>
        <v>26052438</v>
      </c>
      <c r="D124" s="26">
        <f>BK124</f>
        <v>1636601</v>
      </c>
      <c r="E124" s="26">
        <f>SUM(B124:D124)</f>
        <v>27689039</v>
      </c>
      <c r="F124" s="26">
        <f>'[3]Con B&amp;S Journals'!E473</f>
        <v>0</v>
      </c>
      <c r="G124" s="26">
        <f>'[3]Con B&amp;S Journals'!F473</f>
        <v>0</v>
      </c>
      <c r="H124" s="26">
        <f>E124+F124-G124</f>
        <v>27689039</v>
      </c>
      <c r="I124" s="27"/>
      <c r="J124" s="27"/>
      <c r="K124" s="29" t="s">
        <v>396</v>
      </c>
      <c r="L124" s="26">
        <v>162977</v>
      </c>
      <c r="M124" s="26">
        <v>219440</v>
      </c>
      <c r="N124" s="26">
        <v>0</v>
      </c>
      <c r="O124" s="26">
        <v>58713</v>
      </c>
      <c r="P124" s="281">
        <v>2770434</v>
      </c>
      <c r="Q124" s="26">
        <v>0</v>
      </c>
      <c r="R124" s="26">
        <v>4592547</v>
      </c>
      <c r="S124" s="26">
        <v>0</v>
      </c>
      <c r="T124" s="26">
        <v>0</v>
      </c>
      <c r="U124" s="26">
        <v>5219976</v>
      </c>
      <c r="V124" s="26">
        <v>13019283</v>
      </c>
      <c r="W124" s="281">
        <v>0</v>
      </c>
      <c r="X124" s="26">
        <v>9068</v>
      </c>
      <c r="Y124" s="26">
        <f>AQ124</f>
        <v>0</v>
      </c>
      <c r="Z124" s="26">
        <f>BE124</f>
        <v>0</v>
      </c>
      <c r="AA124" s="26">
        <f>SUM(L124:Z124)</f>
        <v>26052438</v>
      </c>
      <c r="AB124" s="27"/>
      <c r="AC124" s="28"/>
      <c r="AD124" s="29" t="s">
        <v>396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f>SUM(AE124:AP124)</f>
        <v>0</v>
      </c>
      <c r="AR124" s="27"/>
      <c r="AS124" s="28"/>
      <c r="AT124" s="29" t="s">
        <v>396</v>
      </c>
      <c r="AU124" s="26">
        <v>0</v>
      </c>
      <c r="AW124" s="26">
        <v>0</v>
      </c>
      <c r="AX124" s="26">
        <v>0</v>
      </c>
      <c r="AY124" s="26">
        <v>0</v>
      </c>
      <c r="AZ124" s="26">
        <v>0</v>
      </c>
      <c r="BA124" s="26">
        <v>0</v>
      </c>
      <c r="BB124" s="26">
        <v>0</v>
      </c>
      <c r="BC124" s="26">
        <v>0</v>
      </c>
      <c r="BD124" s="26">
        <v>0</v>
      </c>
      <c r="BE124" s="26">
        <f>SUM(AU124:BD124)</f>
        <v>0</v>
      </c>
      <c r="BF124" s="27"/>
      <c r="BG124" s="29" t="s">
        <v>396</v>
      </c>
      <c r="BH124" s="281">
        <v>187244</v>
      </c>
      <c r="BI124" s="26">
        <v>1449357</v>
      </c>
      <c r="BJ124" s="273">
        <v>0</v>
      </c>
      <c r="BK124" s="26">
        <f>SUM(BH124:BJ124)</f>
        <v>1636601</v>
      </c>
      <c r="BL124" s="27"/>
      <c r="BM124" s="27"/>
      <c r="BN124" s="29" t="s">
        <v>396</v>
      </c>
      <c r="BO124" s="26">
        <f>376000-12000+5000</f>
        <v>369000</v>
      </c>
    </row>
    <row r="125" spans="2:65" ht="12.75">
      <c r="B125" s="300">
        <f>B123-B124</f>
        <v>0</v>
      </c>
      <c r="C125" s="300">
        <f aca="true" t="shared" si="63" ref="C125:BM125">C123-C124</f>
        <v>8242614</v>
      </c>
      <c r="D125" s="300">
        <f t="shared" si="63"/>
        <v>-1415079.56</v>
      </c>
      <c r="E125" s="300">
        <f t="shared" si="63"/>
        <v>6827534.439999998</v>
      </c>
      <c r="F125" s="300">
        <f t="shared" si="63"/>
        <v>0</v>
      </c>
      <c r="G125" s="300">
        <f t="shared" si="63"/>
        <v>0</v>
      </c>
      <c r="H125" s="300">
        <f t="shared" si="63"/>
        <v>6827534.439999998</v>
      </c>
      <c r="I125" s="300">
        <f t="shared" si="63"/>
        <v>0</v>
      </c>
      <c r="J125" s="300">
        <f t="shared" si="63"/>
        <v>0</v>
      </c>
      <c r="K125" s="300">
        <f t="shared" si="63"/>
        <v>0</v>
      </c>
      <c r="L125" s="300">
        <f t="shared" si="63"/>
        <v>-115418</v>
      </c>
      <c r="M125" s="300">
        <f t="shared" si="63"/>
        <v>-77745</v>
      </c>
      <c r="N125" s="300">
        <f t="shared" si="63"/>
        <v>0</v>
      </c>
      <c r="O125" s="300">
        <f t="shared" si="63"/>
        <v>3084</v>
      </c>
      <c r="P125" s="300">
        <f t="shared" si="63"/>
        <v>6602279</v>
      </c>
      <c r="Q125" s="300">
        <f t="shared" si="63"/>
        <v>0</v>
      </c>
      <c r="R125" s="300">
        <f t="shared" si="63"/>
        <v>-887708</v>
      </c>
      <c r="S125" s="300">
        <f t="shared" si="63"/>
        <v>0</v>
      </c>
      <c r="T125" s="300">
        <f t="shared" si="63"/>
        <v>0</v>
      </c>
      <c r="U125" s="300">
        <f t="shared" si="63"/>
        <v>-2824428</v>
      </c>
      <c r="V125" s="300">
        <f t="shared" si="63"/>
        <v>4187543</v>
      </c>
      <c r="W125" s="300">
        <f t="shared" si="63"/>
        <v>0</v>
      </c>
      <c r="X125" s="300">
        <f t="shared" si="63"/>
        <v>0</v>
      </c>
      <c r="Y125" s="300">
        <f t="shared" si="63"/>
        <v>0</v>
      </c>
      <c r="Z125" s="300">
        <f t="shared" si="63"/>
        <v>0</v>
      </c>
      <c r="AA125" s="300">
        <f t="shared" si="63"/>
        <v>8242614</v>
      </c>
      <c r="AB125" s="300">
        <f t="shared" si="63"/>
        <v>0</v>
      </c>
      <c r="AC125" s="300">
        <f t="shared" si="63"/>
        <v>0</v>
      </c>
      <c r="AD125" s="300">
        <f t="shared" si="63"/>
        <v>0</v>
      </c>
      <c r="AE125" s="300">
        <f t="shared" si="63"/>
        <v>0</v>
      </c>
      <c r="AF125" s="300">
        <f t="shared" si="63"/>
        <v>0</v>
      </c>
      <c r="AG125" s="300">
        <f t="shared" si="63"/>
        <v>0</v>
      </c>
      <c r="AH125" s="300">
        <f t="shared" si="63"/>
        <v>0</v>
      </c>
      <c r="AI125" s="300">
        <f t="shared" si="63"/>
        <v>0</v>
      </c>
      <c r="AJ125" s="300">
        <f t="shared" si="63"/>
        <v>0</v>
      </c>
      <c r="AK125" s="300">
        <f t="shared" si="63"/>
        <v>0</v>
      </c>
      <c r="AL125" s="300">
        <f t="shared" si="63"/>
        <v>0</v>
      </c>
      <c r="AM125" s="300">
        <f t="shared" si="63"/>
        <v>0</v>
      </c>
      <c r="AN125" s="300">
        <f t="shared" si="63"/>
        <v>0</v>
      </c>
      <c r="AO125" s="300">
        <f t="shared" si="63"/>
        <v>0</v>
      </c>
      <c r="AP125" s="300">
        <f t="shared" si="63"/>
        <v>0</v>
      </c>
      <c r="AQ125" s="300">
        <f t="shared" si="63"/>
        <v>0</v>
      </c>
      <c r="AR125" s="300">
        <f t="shared" si="63"/>
        <v>0</v>
      </c>
      <c r="AS125" s="300">
        <f t="shared" si="63"/>
        <v>0</v>
      </c>
      <c r="AT125" s="300">
        <f t="shared" si="63"/>
        <v>0</v>
      </c>
      <c r="AU125" s="300">
        <f t="shared" si="63"/>
        <v>0</v>
      </c>
      <c r="AW125" s="300">
        <f t="shared" si="63"/>
        <v>0</v>
      </c>
      <c r="AX125" s="300">
        <f t="shared" si="63"/>
        <v>0</v>
      </c>
      <c r="AY125" s="300">
        <f t="shared" si="63"/>
        <v>0</v>
      </c>
      <c r="AZ125" s="300">
        <f t="shared" si="63"/>
        <v>0</v>
      </c>
      <c r="BA125" s="300">
        <f t="shared" si="63"/>
        <v>0</v>
      </c>
      <c r="BB125" s="300">
        <f t="shared" si="63"/>
        <v>0</v>
      </c>
      <c r="BC125" s="300">
        <f t="shared" si="63"/>
        <v>0</v>
      </c>
      <c r="BD125" s="300">
        <f t="shared" si="63"/>
        <v>0</v>
      </c>
      <c r="BE125" s="300">
        <f t="shared" si="63"/>
        <v>0</v>
      </c>
      <c r="BF125" s="300">
        <f t="shared" si="63"/>
        <v>0</v>
      </c>
      <c r="BG125" s="300">
        <f t="shared" si="63"/>
        <v>0</v>
      </c>
      <c r="BH125" s="300">
        <f t="shared" si="63"/>
        <v>0.07999999998719431</v>
      </c>
      <c r="BI125" s="300">
        <f t="shared" si="63"/>
        <v>-1415079.64</v>
      </c>
      <c r="BJ125" s="300">
        <f t="shared" si="63"/>
        <v>0</v>
      </c>
      <c r="BK125" s="300">
        <f t="shared" si="63"/>
        <v>-1636601</v>
      </c>
      <c r="BL125" s="300">
        <f t="shared" si="63"/>
        <v>0</v>
      </c>
      <c r="BM125" s="300">
        <f t="shared" si="63"/>
        <v>221521.44</v>
      </c>
    </row>
    <row r="127" spans="1:65" ht="12.75">
      <c r="A127" s="4" t="s">
        <v>8</v>
      </c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W127" s="300"/>
      <c r="AX127" s="300"/>
      <c r="AY127" s="300"/>
      <c r="AZ127" s="300"/>
      <c r="BA127" s="300"/>
      <c r="BB127" s="300"/>
      <c r="BC127" s="300"/>
      <c r="BD127" s="300"/>
      <c r="BE127" s="300"/>
      <c r="BF127" s="300"/>
      <c r="BG127" s="300"/>
      <c r="BH127" s="300"/>
      <c r="BI127" s="300"/>
      <c r="BJ127" s="300"/>
      <c r="BK127" s="300"/>
      <c r="BL127" s="300"/>
      <c r="BM127" s="300"/>
    </row>
    <row r="128" spans="1:65" ht="12.75">
      <c r="A128" s="4" t="s">
        <v>1421</v>
      </c>
      <c r="B128" s="300">
        <v>2760580</v>
      </c>
      <c r="C128" s="300">
        <v>233206362</v>
      </c>
      <c r="D128" s="300">
        <v>8561</v>
      </c>
      <c r="E128" s="300">
        <v>235975503</v>
      </c>
      <c r="F128" s="300" t="s">
        <v>9</v>
      </c>
      <c r="G128" s="300" t="s">
        <v>9</v>
      </c>
      <c r="H128" s="300">
        <v>235975503</v>
      </c>
      <c r="I128" s="300"/>
      <c r="J128" s="300"/>
      <c r="K128" s="300" t="s">
        <v>8</v>
      </c>
      <c r="L128" s="300">
        <v>42000000</v>
      </c>
      <c r="M128" s="300">
        <v>118000000</v>
      </c>
      <c r="N128" s="300">
        <v>0</v>
      </c>
      <c r="O128" s="300">
        <v>0</v>
      </c>
      <c r="P128" s="300">
        <v>0</v>
      </c>
      <c r="Q128" s="300">
        <v>0</v>
      </c>
      <c r="R128" s="300">
        <v>9949947</v>
      </c>
      <c r="S128" s="300">
        <v>0</v>
      </c>
      <c r="T128" s="300">
        <v>0</v>
      </c>
      <c r="U128" s="300">
        <v>0</v>
      </c>
      <c r="V128" s="300">
        <v>60756415</v>
      </c>
      <c r="W128" s="300">
        <v>0</v>
      </c>
      <c r="X128" s="300">
        <v>0</v>
      </c>
      <c r="Y128" s="300">
        <v>2500000</v>
      </c>
      <c r="Z128" s="300">
        <v>0</v>
      </c>
      <c r="AA128" s="300">
        <v>233206362</v>
      </c>
      <c r="AB128" s="300"/>
      <c r="AC128" s="300"/>
      <c r="AD128" s="300" t="s">
        <v>8</v>
      </c>
      <c r="AE128" s="300">
        <v>0</v>
      </c>
      <c r="AF128" s="300">
        <v>0</v>
      </c>
      <c r="AG128" s="300">
        <v>0</v>
      </c>
      <c r="AH128" s="300">
        <v>0</v>
      </c>
      <c r="AI128" s="300">
        <v>0</v>
      </c>
      <c r="AJ128" s="300">
        <v>0</v>
      </c>
      <c r="AK128" s="300">
        <v>0</v>
      </c>
      <c r="AL128" s="300">
        <v>0</v>
      </c>
      <c r="AM128" s="300">
        <v>0</v>
      </c>
      <c r="AN128" s="300">
        <v>2500000</v>
      </c>
      <c r="AO128" s="300">
        <v>0</v>
      </c>
      <c r="AP128" s="300">
        <v>0</v>
      </c>
      <c r="AQ128" s="300">
        <v>2500000</v>
      </c>
      <c r="AR128" s="300"/>
      <c r="AS128" s="300"/>
      <c r="AT128" s="300" t="s">
        <v>8</v>
      </c>
      <c r="AU128" s="300">
        <v>0</v>
      </c>
      <c r="AW128" s="300">
        <v>0</v>
      </c>
      <c r="AX128" s="300">
        <v>0</v>
      </c>
      <c r="AY128" s="300">
        <v>0</v>
      </c>
      <c r="AZ128" s="300">
        <v>0</v>
      </c>
      <c r="BA128" s="300">
        <v>0</v>
      </c>
      <c r="BB128" s="300">
        <v>0</v>
      </c>
      <c r="BC128" s="300">
        <v>0</v>
      </c>
      <c r="BD128" s="300">
        <v>0</v>
      </c>
      <c r="BE128" s="300"/>
      <c r="BF128" s="300"/>
      <c r="BG128" s="300" t="s">
        <v>8</v>
      </c>
      <c r="BH128" s="300">
        <v>3561</v>
      </c>
      <c r="BI128" s="300">
        <v>5000</v>
      </c>
      <c r="BJ128" s="300">
        <v>0</v>
      </c>
      <c r="BK128" s="300"/>
      <c r="BL128" s="300">
        <v>0</v>
      </c>
      <c r="BM128" s="300">
        <v>8561</v>
      </c>
    </row>
    <row r="129" spans="1:67" ht="12.75">
      <c r="A129" s="4" t="s">
        <v>1422</v>
      </c>
      <c r="B129" s="300">
        <v>2760580</v>
      </c>
      <c r="C129" s="300">
        <v>237864786</v>
      </c>
      <c r="D129" s="300">
        <v>8561</v>
      </c>
      <c r="E129" s="300">
        <v>240633927</v>
      </c>
      <c r="F129" s="300" t="s">
        <v>9</v>
      </c>
      <c r="G129" s="300" t="s">
        <v>9</v>
      </c>
      <c r="H129" s="300">
        <v>240633927</v>
      </c>
      <c r="I129" s="300"/>
      <c r="J129" s="300"/>
      <c r="K129" s="300" t="s">
        <v>1423</v>
      </c>
      <c r="L129" s="300">
        <v>42000000</v>
      </c>
      <c r="M129" s="300">
        <v>118000000</v>
      </c>
      <c r="N129" s="300">
        <v>0</v>
      </c>
      <c r="O129" s="300">
        <v>0</v>
      </c>
      <c r="P129" s="300">
        <v>0</v>
      </c>
      <c r="Q129" s="300">
        <v>0</v>
      </c>
      <c r="R129" s="300">
        <v>9949947</v>
      </c>
      <c r="S129" s="300">
        <v>0</v>
      </c>
      <c r="T129" s="300">
        <v>0</v>
      </c>
      <c r="U129" s="300">
        <v>0</v>
      </c>
      <c r="V129" s="300">
        <v>65414839</v>
      </c>
      <c r="W129" s="300">
        <v>0</v>
      </c>
      <c r="X129" s="300">
        <v>0</v>
      </c>
      <c r="Y129" s="300">
        <v>2500000</v>
      </c>
      <c r="Z129" s="300">
        <v>0</v>
      </c>
      <c r="AA129" s="300">
        <v>237864786</v>
      </c>
      <c r="AB129" s="300"/>
      <c r="AC129" s="300"/>
      <c r="AD129" s="300" t="s">
        <v>1423</v>
      </c>
      <c r="AE129" s="300">
        <v>0</v>
      </c>
      <c r="AF129" s="300">
        <v>0</v>
      </c>
      <c r="AG129" s="300">
        <v>0</v>
      </c>
      <c r="AH129" s="300">
        <v>0</v>
      </c>
      <c r="AI129" s="300">
        <v>0</v>
      </c>
      <c r="AJ129" s="300">
        <v>0</v>
      </c>
      <c r="AK129" s="300">
        <v>0</v>
      </c>
      <c r="AL129" s="300">
        <v>0</v>
      </c>
      <c r="AM129" s="300">
        <v>0</v>
      </c>
      <c r="AN129" s="300">
        <v>2500000</v>
      </c>
      <c r="AO129" s="300">
        <v>0</v>
      </c>
      <c r="AP129" s="300">
        <v>0</v>
      </c>
      <c r="AQ129" s="300">
        <v>2500000</v>
      </c>
      <c r="AR129" s="300"/>
      <c r="AS129" s="300"/>
      <c r="AT129" s="300" t="s">
        <v>1423</v>
      </c>
      <c r="AU129" s="300">
        <v>0</v>
      </c>
      <c r="AW129" s="300">
        <v>0</v>
      </c>
      <c r="AX129" s="300">
        <v>0</v>
      </c>
      <c r="AY129" s="300">
        <v>0</v>
      </c>
      <c r="AZ129" s="300">
        <v>0</v>
      </c>
      <c r="BA129" s="300">
        <v>0</v>
      </c>
      <c r="BB129" s="300">
        <v>0</v>
      </c>
      <c r="BC129" s="300">
        <v>0</v>
      </c>
      <c r="BD129" s="300">
        <v>0</v>
      </c>
      <c r="BE129" s="300">
        <v>0</v>
      </c>
      <c r="BF129" s="300"/>
      <c r="BG129" s="300" t="s">
        <v>1423</v>
      </c>
      <c r="BH129" s="300">
        <v>3561</v>
      </c>
      <c r="BI129" s="300">
        <v>5000</v>
      </c>
      <c r="BJ129" s="300">
        <v>0</v>
      </c>
      <c r="BK129" s="300">
        <v>8561</v>
      </c>
      <c r="BL129" s="300"/>
      <c r="BN129" s="4" t="s">
        <v>1424</v>
      </c>
      <c r="BO129" s="4">
        <v>0</v>
      </c>
    </row>
    <row r="130" spans="2:67" ht="12.75">
      <c r="B130" s="300">
        <f>B128-B129</f>
        <v>0</v>
      </c>
      <c r="C130" s="300">
        <f aca="true" t="shared" si="64" ref="C130:BF130">C128-C129</f>
        <v>-4658424</v>
      </c>
      <c r="D130" s="300">
        <f t="shared" si="64"/>
        <v>0</v>
      </c>
      <c r="E130" s="300">
        <f t="shared" si="64"/>
        <v>-4658424</v>
      </c>
      <c r="F130" s="300">
        <f t="shared" si="64"/>
        <v>0</v>
      </c>
      <c r="G130" s="300">
        <f t="shared" si="64"/>
        <v>0</v>
      </c>
      <c r="H130" s="300">
        <f t="shared" si="64"/>
        <v>-4658424</v>
      </c>
      <c r="I130" s="300">
        <f t="shared" si="64"/>
        <v>0</v>
      </c>
      <c r="J130" s="300">
        <f t="shared" si="64"/>
        <v>0</v>
      </c>
      <c r="K130" s="300">
        <f t="shared" si="64"/>
        <v>0</v>
      </c>
      <c r="L130" s="300">
        <f t="shared" si="64"/>
        <v>0</v>
      </c>
      <c r="M130" s="300">
        <f t="shared" si="64"/>
        <v>0</v>
      </c>
      <c r="N130" s="300">
        <f t="shared" si="64"/>
        <v>0</v>
      </c>
      <c r="O130" s="300">
        <f t="shared" si="64"/>
        <v>0</v>
      </c>
      <c r="P130" s="300">
        <f t="shared" si="64"/>
        <v>0</v>
      </c>
      <c r="Q130" s="300">
        <f t="shared" si="64"/>
        <v>0</v>
      </c>
      <c r="R130" s="300">
        <f t="shared" si="64"/>
        <v>0</v>
      </c>
      <c r="S130" s="300">
        <f t="shared" si="64"/>
        <v>0</v>
      </c>
      <c r="T130" s="300">
        <f t="shared" si="64"/>
        <v>0</v>
      </c>
      <c r="U130" s="300">
        <f t="shared" si="64"/>
        <v>0</v>
      </c>
      <c r="V130" s="300">
        <f t="shared" si="64"/>
        <v>-4658424</v>
      </c>
      <c r="W130" s="300">
        <f t="shared" si="64"/>
        <v>0</v>
      </c>
      <c r="X130" s="300">
        <f t="shared" si="64"/>
        <v>0</v>
      </c>
      <c r="Y130" s="300">
        <f t="shared" si="64"/>
        <v>0</v>
      </c>
      <c r="Z130" s="300">
        <f t="shared" si="64"/>
        <v>0</v>
      </c>
      <c r="AA130" s="300">
        <f t="shared" si="64"/>
        <v>-4658424</v>
      </c>
      <c r="AB130" s="300">
        <f t="shared" si="64"/>
        <v>0</v>
      </c>
      <c r="AC130" s="300">
        <f t="shared" si="64"/>
        <v>0</v>
      </c>
      <c r="AD130" s="300">
        <f t="shared" si="64"/>
        <v>0</v>
      </c>
      <c r="AE130" s="300">
        <f t="shared" si="64"/>
        <v>0</v>
      </c>
      <c r="AF130" s="300">
        <f t="shared" si="64"/>
        <v>0</v>
      </c>
      <c r="AG130" s="300">
        <f t="shared" si="64"/>
        <v>0</v>
      </c>
      <c r="AH130" s="300">
        <f t="shared" si="64"/>
        <v>0</v>
      </c>
      <c r="AI130" s="300">
        <f t="shared" si="64"/>
        <v>0</v>
      </c>
      <c r="AJ130" s="300">
        <f t="shared" si="64"/>
        <v>0</v>
      </c>
      <c r="AK130" s="300">
        <f t="shared" si="64"/>
        <v>0</v>
      </c>
      <c r="AL130" s="300">
        <f t="shared" si="64"/>
        <v>0</v>
      </c>
      <c r="AM130" s="300">
        <f t="shared" si="64"/>
        <v>0</v>
      </c>
      <c r="AN130" s="300">
        <f t="shared" si="64"/>
        <v>0</v>
      </c>
      <c r="AO130" s="300">
        <f t="shared" si="64"/>
        <v>0</v>
      </c>
      <c r="AP130" s="300">
        <f t="shared" si="64"/>
        <v>0</v>
      </c>
      <c r="AQ130" s="300">
        <f t="shared" si="64"/>
        <v>0</v>
      </c>
      <c r="AR130" s="300">
        <f t="shared" si="64"/>
        <v>0</v>
      </c>
      <c r="AS130" s="300">
        <f t="shared" si="64"/>
        <v>0</v>
      </c>
      <c r="AT130" s="300">
        <f t="shared" si="64"/>
        <v>0</v>
      </c>
      <c r="AU130" s="300">
        <f t="shared" si="64"/>
        <v>0</v>
      </c>
      <c r="AW130" s="300">
        <f t="shared" si="64"/>
        <v>0</v>
      </c>
      <c r="AX130" s="300">
        <f t="shared" si="64"/>
        <v>0</v>
      </c>
      <c r="AY130" s="300">
        <f t="shared" si="64"/>
        <v>0</v>
      </c>
      <c r="AZ130" s="300">
        <f t="shared" si="64"/>
        <v>0</v>
      </c>
      <c r="BA130" s="300">
        <f t="shared" si="64"/>
        <v>0</v>
      </c>
      <c r="BB130" s="300">
        <f t="shared" si="64"/>
        <v>0</v>
      </c>
      <c r="BC130" s="300">
        <f t="shared" si="64"/>
        <v>0</v>
      </c>
      <c r="BD130" s="300">
        <f t="shared" si="64"/>
        <v>0</v>
      </c>
      <c r="BE130" s="300">
        <f t="shared" si="64"/>
        <v>0</v>
      </c>
      <c r="BF130" s="300">
        <f t="shared" si="64"/>
        <v>0</v>
      </c>
      <c r="BG130" s="300" t="e">
        <f>BG128-#REF!</f>
        <v>#REF!</v>
      </c>
      <c r="BH130" s="300">
        <f aca="true" t="shared" si="65" ref="BH130:BO130">BH128-BG129</f>
        <v>3561</v>
      </c>
      <c r="BI130" s="300">
        <f t="shared" si="65"/>
        <v>1439</v>
      </c>
      <c r="BJ130" s="300">
        <f t="shared" si="65"/>
        <v>-5000</v>
      </c>
      <c r="BK130" s="300">
        <f t="shared" si="65"/>
        <v>0</v>
      </c>
      <c r="BL130" s="300">
        <f t="shared" si="65"/>
        <v>-8561</v>
      </c>
      <c r="BM130" s="300">
        <f t="shared" si="65"/>
        <v>8561</v>
      </c>
      <c r="BN130" s="300">
        <f t="shared" si="65"/>
        <v>0</v>
      </c>
      <c r="BO130" s="300">
        <f t="shared" si="65"/>
        <v>0</v>
      </c>
    </row>
    <row r="131" spans="1:65" ht="12.75">
      <c r="A131" s="4" t="s">
        <v>412</v>
      </c>
      <c r="B131" s="300"/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W131" s="300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300"/>
      <c r="BI131" s="300"/>
      <c r="BJ131" s="300"/>
      <c r="BK131" s="300"/>
      <c r="BL131" s="300"/>
      <c r="BM131" s="300"/>
    </row>
    <row r="132" spans="1:65" ht="12.75">
      <c r="A132" s="4" t="s">
        <v>1421</v>
      </c>
      <c r="B132" s="300">
        <v>0</v>
      </c>
      <c r="C132" s="300">
        <v>48598667.75</v>
      </c>
      <c r="D132" s="300">
        <v>4276604.72</v>
      </c>
      <c r="E132" s="300">
        <v>52875272.47</v>
      </c>
      <c r="F132" s="300">
        <v>1514951</v>
      </c>
      <c r="G132" s="300">
        <v>1514951</v>
      </c>
      <c r="H132" s="300">
        <v>52875272.47</v>
      </c>
      <c r="I132" s="300"/>
      <c r="J132" s="300"/>
      <c r="K132" s="300" t="s">
        <v>412</v>
      </c>
      <c r="L132" s="300">
        <v>166061</v>
      </c>
      <c r="M132" s="300">
        <v>166459</v>
      </c>
      <c r="N132" s="300">
        <v>0</v>
      </c>
      <c r="O132" s="300">
        <v>0</v>
      </c>
      <c r="P132" s="300">
        <v>9157423</v>
      </c>
      <c r="Q132" s="300">
        <v>4122073</v>
      </c>
      <c r="R132" s="300">
        <v>12855814.75</v>
      </c>
      <c r="S132" s="300">
        <v>0</v>
      </c>
      <c r="T132" s="300">
        <v>0</v>
      </c>
      <c r="U132" s="300">
        <v>2938296</v>
      </c>
      <c r="V132" s="300">
        <v>19192541</v>
      </c>
      <c r="W132" s="300">
        <v>0</v>
      </c>
      <c r="X132" s="300">
        <v>0</v>
      </c>
      <c r="Y132" s="300">
        <v>0</v>
      </c>
      <c r="Z132" s="300">
        <v>0</v>
      </c>
      <c r="AA132" s="300">
        <v>48598667.75</v>
      </c>
      <c r="AB132" s="300"/>
      <c r="AC132" s="300"/>
      <c r="AD132" s="300" t="s">
        <v>412</v>
      </c>
      <c r="AE132" s="300">
        <v>0</v>
      </c>
      <c r="AF132" s="300">
        <v>0</v>
      </c>
      <c r="AG132" s="300">
        <v>0</v>
      </c>
      <c r="AH132" s="300">
        <v>0</v>
      </c>
      <c r="AI132" s="300">
        <v>0</v>
      </c>
      <c r="AJ132" s="300">
        <v>0</v>
      </c>
      <c r="AK132" s="300">
        <v>0</v>
      </c>
      <c r="AL132" s="300">
        <v>0</v>
      </c>
      <c r="AM132" s="300">
        <v>0</v>
      </c>
      <c r="AN132" s="300">
        <v>0</v>
      </c>
      <c r="AO132" s="300">
        <v>0</v>
      </c>
      <c r="AP132" s="300">
        <v>0</v>
      </c>
      <c r="AQ132" s="300">
        <v>0</v>
      </c>
      <c r="AR132" s="300"/>
      <c r="AS132" s="300"/>
      <c r="AT132" s="300" t="s">
        <v>412</v>
      </c>
      <c r="AU132" s="300">
        <v>0</v>
      </c>
      <c r="AW132" s="300">
        <v>0</v>
      </c>
      <c r="AX132" s="300">
        <v>0</v>
      </c>
      <c r="AY132" s="300">
        <v>0</v>
      </c>
      <c r="AZ132" s="300">
        <v>0</v>
      </c>
      <c r="BA132" s="300">
        <v>0</v>
      </c>
      <c r="BB132" s="300">
        <v>0</v>
      </c>
      <c r="BC132" s="300">
        <v>0</v>
      </c>
      <c r="BD132" s="300">
        <v>0</v>
      </c>
      <c r="BE132" s="300"/>
      <c r="BF132" s="300"/>
      <c r="BG132" s="300" t="s">
        <v>412</v>
      </c>
      <c r="BH132" s="300">
        <v>302868.99</v>
      </c>
      <c r="BI132" s="300">
        <v>3973735.73</v>
      </c>
      <c r="BJ132" s="300">
        <v>0</v>
      </c>
      <c r="BK132" s="300"/>
      <c r="BL132" s="300">
        <v>0</v>
      </c>
      <c r="BM132" s="300">
        <v>4276604.72</v>
      </c>
    </row>
    <row r="133" spans="1:67" ht="12.75">
      <c r="A133" s="4" t="s">
        <v>1422</v>
      </c>
      <c r="B133" s="300">
        <v>0</v>
      </c>
      <c r="C133" s="300">
        <v>45175486.95</v>
      </c>
      <c r="D133" s="300">
        <v>4156123</v>
      </c>
      <c r="E133" s="300">
        <v>49331609.95</v>
      </c>
      <c r="F133" s="300">
        <v>1514951</v>
      </c>
      <c r="G133" s="300">
        <v>1514951</v>
      </c>
      <c r="H133" s="300">
        <v>49331609.95</v>
      </c>
      <c r="I133" s="300"/>
      <c r="J133" s="300"/>
      <c r="K133" s="300" t="s">
        <v>412</v>
      </c>
      <c r="L133" s="300">
        <v>160291</v>
      </c>
      <c r="M133" s="300">
        <v>0</v>
      </c>
      <c r="N133" s="300">
        <v>0</v>
      </c>
      <c r="O133" s="300">
        <v>0</v>
      </c>
      <c r="P133" s="300">
        <v>6107422</v>
      </c>
      <c r="Q133" s="300">
        <v>4400094</v>
      </c>
      <c r="R133" s="300">
        <v>10557398.95</v>
      </c>
      <c r="S133" s="300">
        <v>0</v>
      </c>
      <c r="T133" s="300">
        <v>0</v>
      </c>
      <c r="U133" s="300">
        <v>4746522</v>
      </c>
      <c r="V133" s="300">
        <v>19203759</v>
      </c>
      <c r="W133" s="300">
        <v>0</v>
      </c>
      <c r="X133" s="300">
        <v>0</v>
      </c>
      <c r="Y133" s="300">
        <v>0</v>
      </c>
      <c r="Z133" s="300">
        <v>0</v>
      </c>
      <c r="AA133" s="300">
        <v>45175486.95</v>
      </c>
      <c r="AB133" s="300"/>
      <c r="AC133" s="300"/>
      <c r="AD133" s="300" t="s">
        <v>412</v>
      </c>
      <c r="AE133" s="300">
        <v>0</v>
      </c>
      <c r="AF133" s="300">
        <v>0</v>
      </c>
      <c r="AG133" s="300">
        <v>0</v>
      </c>
      <c r="AH133" s="300">
        <v>0</v>
      </c>
      <c r="AI133" s="300">
        <v>0</v>
      </c>
      <c r="AJ133" s="300">
        <v>0</v>
      </c>
      <c r="AK133" s="300">
        <v>0</v>
      </c>
      <c r="AL133" s="300">
        <v>0</v>
      </c>
      <c r="AM133" s="300">
        <v>0</v>
      </c>
      <c r="AN133" s="300">
        <v>0</v>
      </c>
      <c r="AO133" s="300">
        <v>0</v>
      </c>
      <c r="AP133" s="300">
        <v>0</v>
      </c>
      <c r="AQ133" s="300">
        <v>0</v>
      </c>
      <c r="AR133" s="300"/>
      <c r="AS133" s="300"/>
      <c r="AT133" s="300" t="s">
        <v>412</v>
      </c>
      <c r="AU133" s="300">
        <v>0</v>
      </c>
      <c r="AW133" s="300">
        <v>0</v>
      </c>
      <c r="AX133" s="300">
        <v>0</v>
      </c>
      <c r="AY133" s="300">
        <v>0</v>
      </c>
      <c r="AZ133" s="300">
        <v>0</v>
      </c>
      <c r="BA133" s="300">
        <v>0</v>
      </c>
      <c r="BB133" s="300">
        <v>0</v>
      </c>
      <c r="BC133" s="300">
        <v>0</v>
      </c>
      <c r="BD133" s="300">
        <v>0</v>
      </c>
      <c r="BE133" s="300">
        <v>0</v>
      </c>
      <c r="BF133" s="300"/>
      <c r="BG133" s="300" t="s">
        <v>412</v>
      </c>
      <c r="BH133" s="300">
        <v>302869</v>
      </c>
      <c r="BI133" s="300">
        <v>3853254</v>
      </c>
      <c r="BJ133" s="300">
        <v>0</v>
      </c>
      <c r="BK133" s="300">
        <v>4156123</v>
      </c>
      <c r="BL133" s="300"/>
      <c r="BN133" s="4" t="s">
        <v>412</v>
      </c>
      <c r="BO133" s="4">
        <v>676000</v>
      </c>
    </row>
    <row r="134" spans="2:67" ht="12.75">
      <c r="B134" s="300">
        <f>B132-B133</f>
        <v>0</v>
      </c>
      <c r="C134" s="300">
        <f aca="true" t="shared" si="66" ref="C134:BF134">C132-C133</f>
        <v>3423180.799999997</v>
      </c>
      <c r="D134" s="300">
        <f t="shared" si="66"/>
        <v>120481.71999999974</v>
      </c>
      <c r="E134" s="300">
        <f t="shared" si="66"/>
        <v>3543662.519999996</v>
      </c>
      <c r="F134" s="300">
        <f t="shared" si="66"/>
        <v>0</v>
      </c>
      <c r="G134" s="300">
        <f t="shared" si="66"/>
        <v>0</v>
      </c>
      <c r="H134" s="300">
        <f t="shared" si="66"/>
        <v>3543662.519999996</v>
      </c>
      <c r="I134" s="300">
        <f t="shared" si="66"/>
        <v>0</v>
      </c>
      <c r="J134" s="300">
        <f t="shared" si="66"/>
        <v>0</v>
      </c>
      <c r="K134" s="300">
        <f t="shared" si="66"/>
        <v>0</v>
      </c>
      <c r="L134" s="300">
        <f t="shared" si="66"/>
        <v>5770</v>
      </c>
      <c r="M134" s="300">
        <f t="shared" si="66"/>
        <v>166459</v>
      </c>
      <c r="N134" s="300">
        <f t="shared" si="66"/>
        <v>0</v>
      </c>
      <c r="O134" s="300">
        <f t="shared" si="66"/>
        <v>0</v>
      </c>
      <c r="P134" s="300">
        <f t="shared" si="66"/>
        <v>3050001</v>
      </c>
      <c r="Q134" s="300">
        <f t="shared" si="66"/>
        <v>-278021</v>
      </c>
      <c r="R134" s="300">
        <f t="shared" si="66"/>
        <v>2298415.8000000007</v>
      </c>
      <c r="S134" s="300">
        <f t="shared" si="66"/>
        <v>0</v>
      </c>
      <c r="T134" s="300">
        <f t="shared" si="66"/>
        <v>0</v>
      </c>
      <c r="U134" s="300">
        <f t="shared" si="66"/>
        <v>-1808226</v>
      </c>
      <c r="V134" s="300">
        <f t="shared" si="66"/>
        <v>-11218</v>
      </c>
      <c r="W134" s="300">
        <f t="shared" si="66"/>
        <v>0</v>
      </c>
      <c r="X134" s="300">
        <f t="shared" si="66"/>
        <v>0</v>
      </c>
      <c r="Y134" s="300">
        <f t="shared" si="66"/>
        <v>0</v>
      </c>
      <c r="Z134" s="300">
        <f t="shared" si="66"/>
        <v>0</v>
      </c>
      <c r="AA134" s="300">
        <f t="shared" si="66"/>
        <v>3423180.799999997</v>
      </c>
      <c r="AB134" s="300">
        <f t="shared" si="66"/>
        <v>0</v>
      </c>
      <c r="AC134" s="300">
        <f t="shared" si="66"/>
        <v>0</v>
      </c>
      <c r="AD134" s="300">
        <f t="shared" si="66"/>
        <v>0</v>
      </c>
      <c r="AE134" s="300">
        <f t="shared" si="66"/>
        <v>0</v>
      </c>
      <c r="AF134" s="300">
        <f t="shared" si="66"/>
        <v>0</v>
      </c>
      <c r="AG134" s="300">
        <f t="shared" si="66"/>
        <v>0</v>
      </c>
      <c r="AH134" s="300">
        <f t="shared" si="66"/>
        <v>0</v>
      </c>
      <c r="AI134" s="300">
        <f t="shared" si="66"/>
        <v>0</v>
      </c>
      <c r="AJ134" s="300">
        <f t="shared" si="66"/>
        <v>0</v>
      </c>
      <c r="AK134" s="300">
        <f t="shared" si="66"/>
        <v>0</v>
      </c>
      <c r="AL134" s="300">
        <f t="shared" si="66"/>
        <v>0</v>
      </c>
      <c r="AM134" s="300">
        <f t="shared" si="66"/>
        <v>0</v>
      </c>
      <c r="AN134" s="300">
        <f t="shared" si="66"/>
        <v>0</v>
      </c>
      <c r="AO134" s="300">
        <f t="shared" si="66"/>
        <v>0</v>
      </c>
      <c r="AP134" s="300">
        <f t="shared" si="66"/>
        <v>0</v>
      </c>
      <c r="AQ134" s="300">
        <f t="shared" si="66"/>
        <v>0</v>
      </c>
      <c r="AR134" s="300">
        <f t="shared" si="66"/>
        <v>0</v>
      </c>
      <c r="AS134" s="300">
        <f t="shared" si="66"/>
        <v>0</v>
      </c>
      <c r="AT134" s="300">
        <f t="shared" si="66"/>
        <v>0</v>
      </c>
      <c r="AU134" s="300">
        <f t="shared" si="66"/>
        <v>0</v>
      </c>
      <c r="AW134" s="300">
        <f t="shared" si="66"/>
        <v>0</v>
      </c>
      <c r="AX134" s="300">
        <f t="shared" si="66"/>
        <v>0</v>
      </c>
      <c r="AY134" s="300">
        <f t="shared" si="66"/>
        <v>0</v>
      </c>
      <c r="AZ134" s="300">
        <f t="shared" si="66"/>
        <v>0</v>
      </c>
      <c r="BA134" s="300">
        <f t="shared" si="66"/>
        <v>0</v>
      </c>
      <c r="BB134" s="300">
        <f t="shared" si="66"/>
        <v>0</v>
      </c>
      <c r="BC134" s="300">
        <f t="shared" si="66"/>
        <v>0</v>
      </c>
      <c r="BD134" s="300">
        <f t="shared" si="66"/>
        <v>0</v>
      </c>
      <c r="BE134" s="300">
        <f t="shared" si="66"/>
        <v>0</v>
      </c>
      <c r="BF134" s="300">
        <f t="shared" si="66"/>
        <v>0</v>
      </c>
      <c r="BG134" s="300">
        <f aca="true" t="shared" si="67" ref="BG134:BO134">BG132-BG133</f>
        <v>0</v>
      </c>
      <c r="BH134" s="300">
        <f t="shared" si="67"/>
        <v>-0.010000000009313226</v>
      </c>
      <c r="BI134" s="300">
        <f t="shared" si="67"/>
        <v>120481.72999999998</v>
      </c>
      <c r="BJ134" s="300">
        <f t="shared" si="67"/>
        <v>0</v>
      </c>
      <c r="BK134" s="300">
        <f t="shared" si="67"/>
        <v>-4156123</v>
      </c>
      <c r="BL134" s="300">
        <f t="shared" si="67"/>
        <v>0</v>
      </c>
      <c r="BM134" s="300">
        <f t="shared" si="67"/>
        <v>4276604.72</v>
      </c>
      <c r="BN134" s="300">
        <f t="shared" si="67"/>
        <v>0</v>
      </c>
      <c r="BO134" s="300">
        <f t="shared" si="67"/>
        <v>-676000</v>
      </c>
    </row>
    <row r="135" ht="12.75">
      <c r="A135" s="4" t="s">
        <v>413</v>
      </c>
    </row>
    <row r="136" spans="1:65" ht="12.75">
      <c r="A136" s="4" t="s">
        <v>1421</v>
      </c>
      <c r="B136" s="300">
        <v>52261838.75585379</v>
      </c>
      <c r="C136" s="300">
        <v>27868968.700000003</v>
      </c>
      <c r="D136" s="300">
        <v>3090568.28</v>
      </c>
      <c r="E136" s="300">
        <v>83221375.73585379</v>
      </c>
      <c r="F136" s="300">
        <v>5020000</v>
      </c>
      <c r="G136" s="300">
        <v>0</v>
      </c>
      <c r="H136" s="300">
        <v>78201375.73585379</v>
      </c>
      <c r="I136" s="300"/>
      <c r="J136" s="300"/>
      <c r="K136" s="300" t="s">
        <v>413</v>
      </c>
      <c r="L136" s="300">
        <v>2817200</v>
      </c>
      <c r="M136" s="300">
        <v>3142561</v>
      </c>
      <c r="N136" s="300">
        <v>749905</v>
      </c>
      <c r="O136" s="300">
        <v>3042537.36</v>
      </c>
      <c r="P136" s="300">
        <v>1518792</v>
      </c>
      <c r="Q136" s="300">
        <v>16800</v>
      </c>
      <c r="R136" s="300">
        <v>9670558.380000003</v>
      </c>
      <c r="S136" s="300">
        <v>13885.68</v>
      </c>
      <c r="T136" s="300">
        <v>1599195</v>
      </c>
      <c r="U136" s="300">
        <v>93321</v>
      </c>
      <c r="V136" s="300">
        <v>4823114</v>
      </c>
      <c r="W136" s="300">
        <v>1497.6</v>
      </c>
      <c r="X136" s="300">
        <v>225906.69</v>
      </c>
      <c r="Y136" s="300">
        <v>129937.66</v>
      </c>
      <c r="Z136" s="300">
        <v>23757.33</v>
      </c>
      <c r="AA136" s="300">
        <v>27868968.700000003</v>
      </c>
      <c r="AB136" s="300"/>
      <c r="AC136" s="300"/>
      <c r="AD136" s="300" t="s">
        <v>413</v>
      </c>
      <c r="AE136" s="300">
        <v>11995.76</v>
      </c>
      <c r="AF136" s="300">
        <v>5581.3</v>
      </c>
      <c r="AG136" s="300">
        <v>1382.4</v>
      </c>
      <c r="AH136" s="300">
        <v>9061.7</v>
      </c>
      <c r="AI136" s="300">
        <v>3800</v>
      </c>
      <c r="AJ136" s="300">
        <v>3800</v>
      </c>
      <c r="AK136" s="300">
        <v>0</v>
      </c>
      <c r="AL136" s="300">
        <v>0</v>
      </c>
      <c r="AM136" s="300">
        <v>11623</v>
      </c>
      <c r="AN136" s="300">
        <v>72534.28</v>
      </c>
      <c r="AO136" s="300">
        <v>6709</v>
      </c>
      <c r="AP136" s="300">
        <v>3450.22</v>
      </c>
      <c r="AQ136" s="300">
        <v>129937.66</v>
      </c>
      <c r="AR136" s="300"/>
      <c r="AS136" s="300"/>
      <c r="AT136" s="300" t="s">
        <v>413</v>
      </c>
      <c r="AU136" s="300">
        <v>2182.97</v>
      </c>
      <c r="AW136" s="300">
        <v>2182.5</v>
      </c>
      <c r="AX136" s="300">
        <v>1800</v>
      </c>
      <c r="AY136" s="300">
        <v>2183</v>
      </c>
      <c r="AZ136" s="300">
        <v>3000</v>
      </c>
      <c r="BA136" s="300">
        <v>2182.85</v>
      </c>
      <c r="BB136" s="300">
        <v>1382.85</v>
      </c>
      <c r="BC136" s="300">
        <v>8843.16</v>
      </c>
      <c r="BD136" s="300">
        <v>23757.33</v>
      </c>
      <c r="BE136" s="300"/>
      <c r="BF136" s="300"/>
      <c r="BG136" s="300" t="s">
        <v>413</v>
      </c>
      <c r="BH136" s="300">
        <v>1267501.3</v>
      </c>
      <c r="BI136" s="300">
        <v>524294.41</v>
      </c>
      <c r="BJ136" s="300">
        <v>1298772.57</v>
      </c>
      <c r="BK136" s="300"/>
      <c r="BL136" s="300">
        <v>0</v>
      </c>
      <c r="BM136" s="4">
        <v>3090568.28</v>
      </c>
    </row>
    <row r="137" spans="1:68" ht="12.75">
      <c r="A137" s="4" t="s">
        <v>1422</v>
      </c>
      <c r="B137" s="300">
        <f>111572319-60202257</f>
        <v>51370062</v>
      </c>
      <c r="C137" s="300">
        <v>42338524.55</v>
      </c>
      <c r="D137" s="300">
        <v>19979334</v>
      </c>
      <c r="E137" s="300">
        <v>173890177.55</v>
      </c>
      <c r="F137" s="300">
        <v>5020000</v>
      </c>
      <c r="G137" s="300">
        <v>0</v>
      </c>
      <c r="H137" s="300">
        <v>168870177.55</v>
      </c>
      <c r="I137" s="300"/>
      <c r="J137" s="300"/>
      <c r="K137" s="300" t="s">
        <v>413</v>
      </c>
      <c r="L137" s="300">
        <v>195911</v>
      </c>
      <c r="M137" s="300">
        <v>230643</v>
      </c>
      <c r="N137" s="300">
        <v>2457609</v>
      </c>
      <c r="O137" s="300">
        <v>3073591</v>
      </c>
      <c r="P137" s="300">
        <v>1666734</v>
      </c>
      <c r="Q137" s="300">
        <v>46800</v>
      </c>
      <c r="R137" s="300">
        <f>28305549.05-18221591</f>
        <v>10083958.05</v>
      </c>
      <c r="S137" s="300">
        <v>2886</v>
      </c>
      <c r="T137" s="300">
        <v>1619194</v>
      </c>
      <c r="U137" s="300">
        <v>55074</v>
      </c>
      <c r="V137" s="300">
        <v>4515745</v>
      </c>
      <c r="W137" s="300">
        <v>1497</v>
      </c>
      <c r="X137" s="300">
        <v>11764</v>
      </c>
      <c r="Y137" s="300">
        <v>130089</v>
      </c>
      <c r="Z137" s="300">
        <v>25438.5</v>
      </c>
      <c r="AA137" s="300">
        <v>42338524.55</v>
      </c>
      <c r="AB137" s="300"/>
      <c r="AC137" s="300"/>
      <c r="AD137" s="300" t="s">
        <v>413</v>
      </c>
      <c r="AE137" s="300">
        <v>12829</v>
      </c>
      <c r="AF137" s="300">
        <v>5581</v>
      </c>
      <c r="AG137" s="300">
        <v>1382</v>
      </c>
      <c r="AH137" s="300">
        <v>8382</v>
      </c>
      <c r="AI137" s="300">
        <v>3800</v>
      </c>
      <c r="AJ137" s="300">
        <v>3800</v>
      </c>
      <c r="AK137" s="300">
        <v>0</v>
      </c>
      <c r="AL137" s="300">
        <v>0</v>
      </c>
      <c r="AM137" s="300">
        <v>11623</v>
      </c>
      <c r="AN137" s="300">
        <v>72534</v>
      </c>
      <c r="AO137" s="300">
        <v>6708</v>
      </c>
      <c r="AP137" s="300">
        <v>3450</v>
      </c>
      <c r="AQ137" s="300">
        <v>130089</v>
      </c>
      <c r="AR137" s="300"/>
      <c r="AS137" s="300"/>
      <c r="AT137" s="300" t="s">
        <v>413</v>
      </c>
      <c r="AU137" s="300">
        <v>2182</v>
      </c>
      <c r="AW137" s="300">
        <v>1682</v>
      </c>
      <c r="AX137" s="300">
        <v>2182.5</v>
      </c>
      <c r="AY137" s="300">
        <v>1800</v>
      </c>
      <c r="AZ137" s="300">
        <v>2183</v>
      </c>
      <c r="BA137" s="300">
        <v>3000</v>
      </c>
      <c r="BB137" s="300">
        <v>3183</v>
      </c>
      <c r="BC137" s="300">
        <v>2383</v>
      </c>
      <c r="BD137" s="300">
        <v>6843</v>
      </c>
      <c r="BE137" s="300">
        <v>25438.5</v>
      </c>
      <c r="BF137" s="300"/>
      <c r="BG137" s="300" t="s">
        <v>413</v>
      </c>
      <c r="BH137" s="300">
        <v>1267142</v>
      </c>
      <c r="BI137" s="300">
        <v>1629384</v>
      </c>
      <c r="BJ137" s="300">
        <f>17082808-12861978</f>
        <v>4220830</v>
      </c>
      <c r="BK137" s="300">
        <v>19979334</v>
      </c>
      <c r="BN137" s="4" t="s">
        <v>413</v>
      </c>
      <c r="BO137" s="5">
        <v>1196000</v>
      </c>
      <c r="BP137" s="5">
        <v>2985933.6</v>
      </c>
    </row>
    <row r="138" spans="2:65" ht="12.75">
      <c r="B138" s="300">
        <f>B136-B137</f>
        <v>891776.7558537871</v>
      </c>
      <c r="C138" s="300">
        <f aca="true" t="shared" si="68" ref="C138:BM138">C136-C137</f>
        <v>-14469555.849999994</v>
      </c>
      <c r="D138" s="300">
        <f t="shared" si="68"/>
        <v>-16888765.72</v>
      </c>
      <c r="E138" s="300">
        <f t="shared" si="68"/>
        <v>-90668801.81414622</v>
      </c>
      <c r="F138" s="300">
        <f t="shared" si="68"/>
        <v>0</v>
      </c>
      <c r="G138" s="300">
        <f t="shared" si="68"/>
        <v>0</v>
      </c>
      <c r="H138" s="300">
        <f t="shared" si="68"/>
        <v>-90668801.81414622</v>
      </c>
      <c r="I138" s="300">
        <f t="shared" si="68"/>
        <v>0</v>
      </c>
      <c r="J138" s="300">
        <f t="shared" si="68"/>
        <v>0</v>
      </c>
      <c r="K138" s="300">
        <f t="shared" si="68"/>
        <v>0</v>
      </c>
      <c r="L138" s="300">
        <f t="shared" si="68"/>
        <v>2621289</v>
      </c>
      <c r="M138" s="300">
        <f t="shared" si="68"/>
        <v>2911918</v>
      </c>
      <c r="N138" s="300">
        <f t="shared" si="68"/>
        <v>-1707704</v>
      </c>
      <c r="O138" s="300">
        <f t="shared" si="68"/>
        <v>-31053.64000000013</v>
      </c>
      <c r="P138" s="300">
        <f t="shared" si="68"/>
        <v>-147942</v>
      </c>
      <c r="Q138" s="300">
        <f t="shared" si="68"/>
        <v>-30000</v>
      </c>
      <c r="R138" s="300">
        <f t="shared" si="68"/>
        <v>-413399.66999999806</v>
      </c>
      <c r="S138" s="300">
        <f t="shared" si="68"/>
        <v>10999.68</v>
      </c>
      <c r="T138" s="300">
        <f t="shared" si="68"/>
        <v>-19999</v>
      </c>
      <c r="U138" s="300">
        <f t="shared" si="68"/>
        <v>38247</v>
      </c>
      <c r="V138" s="300">
        <f t="shared" si="68"/>
        <v>307369</v>
      </c>
      <c r="W138" s="300">
        <f t="shared" si="68"/>
        <v>0.599999999999909</v>
      </c>
      <c r="X138" s="300">
        <f t="shared" si="68"/>
        <v>214142.69</v>
      </c>
      <c r="Y138" s="300">
        <f t="shared" si="68"/>
        <v>-151.3399999999965</v>
      </c>
      <c r="Z138" s="300">
        <f t="shared" si="68"/>
        <v>-1681.1699999999983</v>
      </c>
      <c r="AA138" s="300">
        <f t="shared" si="68"/>
        <v>-14469555.849999994</v>
      </c>
      <c r="AB138" s="300">
        <f t="shared" si="68"/>
        <v>0</v>
      </c>
      <c r="AC138" s="300">
        <f t="shared" si="68"/>
        <v>0</v>
      </c>
      <c r="AD138" s="300">
        <f t="shared" si="68"/>
        <v>0</v>
      </c>
      <c r="AE138" s="300">
        <f t="shared" si="68"/>
        <v>-833.2399999999998</v>
      </c>
      <c r="AF138" s="300">
        <f t="shared" si="68"/>
        <v>0.3000000000001819</v>
      </c>
      <c r="AG138" s="300">
        <f t="shared" si="68"/>
        <v>0.40000000000009095</v>
      </c>
      <c r="AH138" s="300">
        <f t="shared" si="68"/>
        <v>679.7000000000007</v>
      </c>
      <c r="AI138" s="300">
        <f t="shared" si="68"/>
        <v>0</v>
      </c>
      <c r="AJ138" s="300">
        <f t="shared" si="68"/>
        <v>0</v>
      </c>
      <c r="AK138" s="300">
        <f t="shared" si="68"/>
        <v>0</v>
      </c>
      <c r="AL138" s="300">
        <f t="shared" si="68"/>
        <v>0</v>
      </c>
      <c r="AM138" s="300">
        <f t="shared" si="68"/>
        <v>0</v>
      </c>
      <c r="AN138" s="300">
        <f t="shared" si="68"/>
        <v>0.27999999999883585</v>
      </c>
      <c r="AO138" s="300">
        <f t="shared" si="68"/>
        <v>1</v>
      </c>
      <c r="AP138" s="300">
        <f t="shared" si="68"/>
        <v>0.2199999999997999</v>
      </c>
      <c r="AQ138" s="300">
        <f t="shared" si="68"/>
        <v>-151.3399999999965</v>
      </c>
      <c r="AR138" s="300">
        <f t="shared" si="68"/>
        <v>0</v>
      </c>
      <c r="AS138" s="300">
        <f t="shared" si="68"/>
        <v>0</v>
      </c>
      <c r="AT138" s="300">
        <f t="shared" si="68"/>
        <v>0</v>
      </c>
      <c r="AU138" s="300">
        <f t="shared" si="68"/>
        <v>0.9699999999997999</v>
      </c>
      <c r="AW138" s="300">
        <f t="shared" si="68"/>
        <v>500.5</v>
      </c>
      <c r="AX138" s="300">
        <f t="shared" si="68"/>
        <v>-382.5</v>
      </c>
      <c r="AY138" s="300">
        <f t="shared" si="68"/>
        <v>383</v>
      </c>
      <c r="AZ138" s="300">
        <f t="shared" si="68"/>
        <v>817</v>
      </c>
      <c r="BA138" s="300">
        <f t="shared" si="68"/>
        <v>-817.1500000000001</v>
      </c>
      <c r="BB138" s="300">
        <f t="shared" si="68"/>
        <v>-1800.15</v>
      </c>
      <c r="BC138" s="300">
        <f t="shared" si="68"/>
        <v>6460.16</v>
      </c>
      <c r="BD138" s="300">
        <f t="shared" si="68"/>
        <v>16914.33</v>
      </c>
      <c r="BE138" s="300">
        <f t="shared" si="68"/>
        <v>-25438.5</v>
      </c>
      <c r="BF138" s="300">
        <f t="shared" si="68"/>
        <v>0</v>
      </c>
      <c r="BG138" s="300">
        <f t="shared" si="68"/>
        <v>0</v>
      </c>
      <c r="BH138" s="300">
        <f t="shared" si="68"/>
        <v>359.30000000004657</v>
      </c>
      <c r="BI138" s="300">
        <f t="shared" si="68"/>
        <v>-1105089.5899999999</v>
      </c>
      <c r="BJ138" s="300">
        <f t="shared" si="68"/>
        <v>-2922057.4299999997</v>
      </c>
      <c r="BK138" s="300">
        <f t="shared" si="68"/>
        <v>-19979334</v>
      </c>
      <c r="BL138" s="300">
        <f t="shared" si="68"/>
        <v>0</v>
      </c>
      <c r="BM138" s="300">
        <f t="shared" si="68"/>
        <v>3090568.28</v>
      </c>
    </row>
    <row r="140" ht="12.75">
      <c r="A140" s="4" t="s">
        <v>397</v>
      </c>
    </row>
    <row r="141" spans="1:67" ht="12.75">
      <c r="A141" s="4" t="s">
        <v>1421</v>
      </c>
      <c r="B141" s="300">
        <v>150975364.85013697</v>
      </c>
      <c r="C141" s="300">
        <v>65363512.58</v>
      </c>
      <c r="D141" s="300">
        <v>477631.07</v>
      </c>
      <c r="E141" s="300">
        <v>216816508.50013697</v>
      </c>
      <c r="F141" s="300">
        <v>-1246254.18</v>
      </c>
      <c r="G141" s="300">
        <v>250</v>
      </c>
      <c r="H141" s="300">
        <v>215570004.32013696</v>
      </c>
      <c r="I141" s="300"/>
      <c r="J141" s="300"/>
      <c r="K141" s="300" t="s">
        <v>397</v>
      </c>
      <c r="L141" s="300">
        <v>12312148</v>
      </c>
      <c r="M141" s="300">
        <v>177744</v>
      </c>
      <c r="N141" s="300">
        <v>1355007</v>
      </c>
      <c r="O141" s="300">
        <v>36399.35999999987</v>
      </c>
      <c r="P141" s="300">
        <v>4637696</v>
      </c>
      <c r="Q141" s="300">
        <v>71048</v>
      </c>
      <c r="R141" s="300">
        <v>579103</v>
      </c>
      <c r="S141" s="300">
        <v>6500</v>
      </c>
      <c r="T141" s="300">
        <v>0</v>
      </c>
      <c r="U141" s="300">
        <v>99464</v>
      </c>
      <c r="V141" s="300">
        <v>41739098</v>
      </c>
      <c r="W141" s="300">
        <v>793280</v>
      </c>
      <c r="X141" s="300">
        <v>402</v>
      </c>
      <c r="Y141" s="300">
        <v>3555223.22</v>
      </c>
      <c r="Z141" s="300">
        <v>400</v>
      </c>
      <c r="AA141" s="300">
        <v>65363512.58</v>
      </c>
      <c r="AB141" s="300"/>
      <c r="AC141" s="300"/>
      <c r="AD141" s="300" t="s">
        <v>397</v>
      </c>
      <c r="AE141" s="300">
        <v>2814</v>
      </c>
      <c r="AF141" s="300">
        <v>0</v>
      </c>
      <c r="AG141" s="300">
        <v>0</v>
      </c>
      <c r="AH141" s="300">
        <v>411666</v>
      </c>
      <c r="AI141" s="300">
        <v>0</v>
      </c>
      <c r="AJ141" s="300">
        <v>0</v>
      </c>
      <c r="AK141" s="300">
        <v>0</v>
      </c>
      <c r="AL141" s="300">
        <v>0</v>
      </c>
      <c r="AM141" s="300">
        <v>100</v>
      </c>
      <c r="AN141" s="300">
        <v>46000</v>
      </c>
      <c r="AO141" s="300">
        <v>0</v>
      </c>
      <c r="AP141" s="300">
        <v>3094643.22</v>
      </c>
      <c r="AQ141" s="300">
        <v>3555223.22</v>
      </c>
      <c r="AR141" s="300"/>
      <c r="AS141" s="300"/>
      <c r="AT141" s="300" t="s">
        <v>397</v>
      </c>
      <c r="AU141" s="300">
        <v>0</v>
      </c>
      <c r="AW141" s="300">
        <v>0</v>
      </c>
      <c r="AX141" s="300">
        <v>0</v>
      </c>
      <c r="AY141" s="300">
        <v>0</v>
      </c>
      <c r="AZ141" s="300">
        <v>0</v>
      </c>
      <c r="BA141" s="300">
        <v>0</v>
      </c>
      <c r="BB141" s="300">
        <v>0</v>
      </c>
      <c r="BC141" s="300">
        <v>400</v>
      </c>
      <c r="BD141" s="300">
        <v>400</v>
      </c>
      <c r="BE141" s="300"/>
      <c r="BF141" s="300"/>
      <c r="BG141" s="300" t="s">
        <v>397</v>
      </c>
      <c r="BH141" s="300">
        <v>21491.64</v>
      </c>
      <c r="BI141" s="300">
        <v>456139.43</v>
      </c>
      <c r="BJ141" s="300">
        <v>0</v>
      </c>
      <c r="BK141" s="300"/>
      <c r="BL141" s="4">
        <v>0</v>
      </c>
      <c r="BM141" s="4">
        <v>477631.07</v>
      </c>
      <c r="BO141" s="5"/>
    </row>
    <row r="142" spans="1:68" ht="12.75">
      <c r="A142" s="4" t="s">
        <v>1422</v>
      </c>
      <c r="B142" s="300">
        <v>150651130</v>
      </c>
      <c r="C142" s="300">
        <v>60376649</v>
      </c>
      <c r="D142" s="300">
        <v>288241</v>
      </c>
      <c r="E142" s="300">
        <v>211316020</v>
      </c>
      <c r="F142" s="300">
        <v>-2660413.1</v>
      </c>
      <c r="G142" s="300">
        <v>250</v>
      </c>
      <c r="H142" s="300">
        <v>208655356.9</v>
      </c>
      <c r="I142" s="300"/>
      <c r="J142" s="300"/>
      <c r="K142" s="300" t="s">
        <v>397</v>
      </c>
      <c r="L142" s="300">
        <v>12313491</v>
      </c>
      <c r="M142" s="300">
        <v>162821</v>
      </c>
      <c r="N142" s="300">
        <v>1302869</v>
      </c>
      <c r="O142" s="300">
        <v>341593</v>
      </c>
      <c r="P142" s="300">
        <v>50000</v>
      </c>
      <c r="Q142" s="300">
        <v>40771</v>
      </c>
      <c r="R142" s="300">
        <v>600424</v>
      </c>
      <c r="S142" s="300">
        <v>6500</v>
      </c>
      <c r="T142" s="300">
        <v>8000</v>
      </c>
      <c r="U142" s="300">
        <v>124796</v>
      </c>
      <c r="V142" s="300">
        <v>41111184</v>
      </c>
      <c r="W142" s="300">
        <v>793280</v>
      </c>
      <c r="X142" s="300">
        <v>402</v>
      </c>
      <c r="Y142" s="300">
        <v>3510213</v>
      </c>
      <c r="Z142" s="300">
        <v>10305</v>
      </c>
      <c r="AA142" s="300">
        <v>60376649</v>
      </c>
      <c r="AB142" s="300"/>
      <c r="AC142" s="300"/>
      <c r="AD142" s="300" t="s">
        <v>397</v>
      </c>
      <c r="AE142" s="300">
        <v>4470</v>
      </c>
      <c r="AF142" s="300">
        <v>0</v>
      </c>
      <c r="AG142" s="300">
        <v>0</v>
      </c>
      <c r="AH142" s="300">
        <v>400000</v>
      </c>
      <c r="AI142" s="300">
        <v>0</v>
      </c>
      <c r="AJ142" s="300">
        <v>0</v>
      </c>
      <c r="AK142" s="300">
        <v>0</v>
      </c>
      <c r="AL142" s="300">
        <v>0</v>
      </c>
      <c r="AM142" s="300">
        <v>100</v>
      </c>
      <c r="AN142" s="300">
        <v>11000</v>
      </c>
      <c r="AO142" s="300">
        <v>0</v>
      </c>
      <c r="AP142" s="300">
        <v>3094643</v>
      </c>
      <c r="AQ142" s="300">
        <v>3510213</v>
      </c>
      <c r="AR142" s="300"/>
      <c r="AS142" s="300"/>
      <c r="AT142" s="300" t="s">
        <v>397</v>
      </c>
      <c r="AU142" s="300">
        <v>0</v>
      </c>
      <c r="AW142" s="300">
        <v>9905</v>
      </c>
      <c r="AX142" s="300">
        <v>0</v>
      </c>
      <c r="AY142" s="300">
        <v>0</v>
      </c>
      <c r="AZ142" s="300">
        <v>0</v>
      </c>
      <c r="BA142" s="300">
        <v>0</v>
      </c>
      <c r="BB142" s="300">
        <v>0</v>
      </c>
      <c r="BC142" s="300">
        <v>0</v>
      </c>
      <c r="BD142" s="300">
        <v>400</v>
      </c>
      <c r="BE142" s="300">
        <v>10305</v>
      </c>
      <c r="BF142" s="300"/>
      <c r="BG142" s="300" t="s">
        <v>397</v>
      </c>
      <c r="BH142" s="300">
        <v>12910</v>
      </c>
      <c r="BI142" s="300">
        <v>275331</v>
      </c>
      <c r="BJ142" s="300">
        <v>0</v>
      </c>
      <c r="BK142" s="300">
        <v>288241</v>
      </c>
      <c r="BN142" s="4" t="s">
        <v>397</v>
      </c>
      <c r="BO142" s="5">
        <v>1363000</v>
      </c>
      <c r="BP142" s="5">
        <v>3402865.8</v>
      </c>
    </row>
    <row r="143" spans="2:65" ht="12.75">
      <c r="B143" s="300">
        <f>B141-B142</f>
        <v>324234.8501369655</v>
      </c>
      <c r="C143" s="300">
        <f aca="true" t="shared" si="69" ref="C143:BM143">C141-C142</f>
        <v>4986863.579999998</v>
      </c>
      <c r="D143" s="300">
        <f t="shared" si="69"/>
        <v>189390.07</v>
      </c>
      <c r="E143" s="300">
        <f t="shared" si="69"/>
        <v>5500488.5001369715</v>
      </c>
      <c r="F143" s="300">
        <f t="shared" si="69"/>
        <v>1414158.9200000002</v>
      </c>
      <c r="G143" s="300">
        <f t="shared" si="69"/>
        <v>0</v>
      </c>
      <c r="H143" s="300">
        <f t="shared" si="69"/>
        <v>6914647.420136958</v>
      </c>
      <c r="I143" s="300">
        <f t="shared" si="69"/>
        <v>0</v>
      </c>
      <c r="J143" s="300">
        <f t="shared" si="69"/>
        <v>0</v>
      </c>
      <c r="K143" s="300">
        <f t="shared" si="69"/>
        <v>0</v>
      </c>
      <c r="L143" s="300">
        <f t="shared" si="69"/>
        <v>-1343</v>
      </c>
      <c r="M143" s="300">
        <f t="shared" si="69"/>
        <v>14923</v>
      </c>
      <c r="N143" s="300">
        <f t="shared" si="69"/>
        <v>52138</v>
      </c>
      <c r="O143" s="300">
        <f t="shared" si="69"/>
        <v>-305193.64000000013</v>
      </c>
      <c r="P143" s="300">
        <f t="shared" si="69"/>
        <v>4587696</v>
      </c>
      <c r="Q143" s="300">
        <f t="shared" si="69"/>
        <v>30277</v>
      </c>
      <c r="R143" s="300">
        <f t="shared" si="69"/>
        <v>-21321</v>
      </c>
      <c r="S143" s="300">
        <f t="shared" si="69"/>
        <v>0</v>
      </c>
      <c r="T143" s="300">
        <f t="shared" si="69"/>
        <v>-8000</v>
      </c>
      <c r="U143" s="300">
        <f t="shared" si="69"/>
        <v>-25332</v>
      </c>
      <c r="V143" s="300">
        <f t="shared" si="69"/>
        <v>627914</v>
      </c>
      <c r="W143" s="300">
        <f t="shared" si="69"/>
        <v>0</v>
      </c>
      <c r="X143" s="300">
        <f t="shared" si="69"/>
        <v>0</v>
      </c>
      <c r="Y143" s="300">
        <f t="shared" si="69"/>
        <v>45010.220000000205</v>
      </c>
      <c r="Z143" s="300">
        <f t="shared" si="69"/>
        <v>-9905</v>
      </c>
      <c r="AA143" s="300">
        <f t="shared" si="69"/>
        <v>4986863.579999998</v>
      </c>
      <c r="AB143" s="300">
        <f t="shared" si="69"/>
        <v>0</v>
      </c>
      <c r="AC143" s="300">
        <f t="shared" si="69"/>
        <v>0</v>
      </c>
      <c r="AD143" s="300">
        <f t="shared" si="69"/>
        <v>0</v>
      </c>
      <c r="AE143" s="300">
        <f t="shared" si="69"/>
        <v>-1656</v>
      </c>
      <c r="AF143" s="300">
        <f t="shared" si="69"/>
        <v>0</v>
      </c>
      <c r="AG143" s="300">
        <f t="shared" si="69"/>
        <v>0</v>
      </c>
      <c r="AH143" s="300">
        <f t="shared" si="69"/>
        <v>11666</v>
      </c>
      <c r="AI143" s="300">
        <f t="shared" si="69"/>
        <v>0</v>
      </c>
      <c r="AJ143" s="300">
        <f t="shared" si="69"/>
        <v>0</v>
      </c>
      <c r="AK143" s="300">
        <f t="shared" si="69"/>
        <v>0</v>
      </c>
      <c r="AL143" s="300">
        <f t="shared" si="69"/>
        <v>0</v>
      </c>
      <c r="AM143" s="300">
        <f t="shared" si="69"/>
        <v>0</v>
      </c>
      <c r="AN143" s="300">
        <f t="shared" si="69"/>
        <v>35000</v>
      </c>
      <c r="AO143" s="300">
        <f t="shared" si="69"/>
        <v>0</v>
      </c>
      <c r="AP143" s="300">
        <f t="shared" si="69"/>
        <v>0.22000000020489097</v>
      </c>
      <c r="AQ143" s="300">
        <f t="shared" si="69"/>
        <v>45010.220000000205</v>
      </c>
      <c r="AR143" s="300">
        <f t="shared" si="69"/>
        <v>0</v>
      </c>
      <c r="AS143" s="300">
        <f t="shared" si="69"/>
        <v>0</v>
      </c>
      <c r="AT143" s="300">
        <f t="shared" si="69"/>
        <v>0</v>
      </c>
      <c r="AU143" s="300">
        <f t="shared" si="69"/>
        <v>0</v>
      </c>
      <c r="AW143" s="300">
        <f t="shared" si="69"/>
        <v>-9905</v>
      </c>
      <c r="AX143" s="300">
        <f t="shared" si="69"/>
        <v>0</v>
      </c>
      <c r="AY143" s="300">
        <f t="shared" si="69"/>
        <v>0</v>
      </c>
      <c r="AZ143" s="300">
        <f t="shared" si="69"/>
        <v>0</v>
      </c>
      <c r="BA143" s="300">
        <f t="shared" si="69"/>
        <v>0</v>
      </c>
      <c r="BB143" s="300">
        <f t="shared" si="69"/>
        <v>0</v>
      </c>
      <c r="BC143" s="300">
        <f t="shared" si="69"/>
        <v>400</v>
      </c>
      <c r="BD143" s="300">
        <f t="shared" si="69"/>
        <v>0</v>
      </c>
      <c r="BE143" s="300">
        <f t="shared" si="69"/>
        <v>-10305</v>
      </c>
      <c r="BF143" s="300">
        <f t="shared" si="69"/>
        <v>0</v>
      </c>
      <c r="BG143" s="300">
        <f t="shared" si="69"/>
        <v>0</v>
      </c>
      <c r="BH143" s="300">
        <f t="shared" si="69"/>
        <v>8581.64</v>
      </c>
      <c r="BI143" s="300">
        <f t="shared" si="69"/>
        <v>180808.43</v>
      </c>
      <c r="BJ143" s="300">
        <f t="shared" si="69"/>
        <v>0</v>
      </c>
      <c r="BK143" s="300">
        <f t="shared" si="69"/>
        <v>-288241</v>
      </c>
      <c r="BL143" s="300">
        <f t="shared" si="69"/>
        <v>0</v>
      </c>
      <c r="BM143" s="300">
        <f t="shared" si="69"/>
        <v>477631.07</v>
      </c>
    </row>
    <row r="146" ht="12.75">
      <c r="A146" s="4" t="s">
        <v>125</v>
      </c>
    </row>
    <row r="147" spans="1:65" ht="12.75">
      <c r="A147" s="4">
        <v>2000</v>
      </c>
      <c r="B147" s="300">
        <f>B58</f>
        <v>1705667.22</v>
      </c>
      <c r="C147" s="300">
        <f aca="true" t="shared" si="70" ref="C147:BM147">C58</f>
        <v>15094479.030000001</v>
      </c>
      <c r="D147" s="300">
        <f t="shared" si="70"/>
        <v>4406.1</v>
      </c>
      <c r="E147" s="300">
        <f t="shared" si="70"/>
        <v>16804552.35</v>
      </c>
      <c r="F147" s="300">
        <f t="shared" si="70"/>
        <v>0</v>
      </c>
      <c r="G147" s="300">
        <f t="shared" si="70"/>
        <v>0</v>
      </c>
      <c r="H147" s="300">
        <f t="shared" si="70"/>
        <v>16804552.35</v>
      </c>
      <c r="I147" s="300">
        <f t="shared" si="70"/>
        <v>0</v>
      </c>
      <c r="J147" s="300">
        <f t="shared" si="70"/>
        <v>0</v>
      </c>
      <c r="K147" s="300" t="str">
        <f t="shared" si="70"/>
        <v>     Taxation</v>
      </c>
      <c r="L147" s="300">
        <f t="shared" si="70"/>
        <v>2198474.25</v>
      </c>
      <c r="M147" s="300">
        <f t="shared" si="70"/>
        <v>2865822.4</v>
      </c>
      <c r="N147" s="300">
        <f t="shared" si="70"/>
        <v>7630</v>
      </c>
      <c r="O147" s="300">
        <f t="shared" si="70"/>
        <v>9450</v>
      </c>
      <c r="P147" s="300">
        <f t="shared" si="70"/>
        <v>88724</v>
      </c>
      <c r="Q147" s="300">
        <f t="shared" si="70"/>
        <v>1496</v>
      </c>
      <c r="R147" s="300">
        <f t="shared" si="70"/>
        <v>5738000</v>
      </c>
      <c r="S147" s="300">
        <f t="shared" si="70"/>
        <v>4219</v>
      </c>
      <c r="T147" s="300">
        <f t="shared" si="70"/>
        <v>0</v>
      </c>
      <c r="U147" s="300">
        <f t="shared" si="70"/>
        <v>419106.38</v>
      </c>
      <c r="V147" s="300">
        <f t="shared" si="70"/>
        <v>3746249</v>
      </c>
      <c r="W147" s="300">
        <f t="shared" si="70"/>
        <v>0</v>
      </c>
      <c r="X147" s="300">
        <f t="shared" si="70"/>
        <v>0</v>
      </c>
      <c r="Y147" s="300">
        <f t="shared" si="70"/>
        <v>15235</v>
      </c>
      <c r="Z147" s="300">
        <f t="shared" si="70"/>
        <v>73</v>
      </c>
      <c r="AA147" s="300">
        <f t="shared" si="70"/>
        <v>15094479.030000001</v>
      </c>
      <c r="AB147" s="300">
        <f t="shared" si="70"/>
        <v>0</v>
      </c>
      <c r="AC147" s="300">
        <f t="shared" si="70"/>
        <v>0</v>
      </c>
      <c r="AD147" s="300" t="str">
        <f t="shared" si="70"/>
        <v>     Taxation</v>
      </c>
      <c r="AE147" s="300">
        <f t="shared" si="70"/>
        <v>0</v>
      </c>
      <c r="AF147" s="300">
        <f t="shared" si="70"/>
        <v>0</v>
      </c>
      <c r="AG147" s="300">
        <f t="shared" si="70"/>
        <v>0</v>
      </c>
      <c r="AH147" s="300">
        <f t="shared" si="70"/>
        <v>0</v>
      </c>
      <c r="AI147" s="300">
        <f t="shared" si="70"/>
        <v>0</v>
      </c>
      <c r="AJ147" s="300">
        <f t="shared" si="70"/>
        <v>0</v>
      </c>
      <c r="AK147" s="300">
        <f t="shared" si="70"/>
        <v>0</v>
      </c>
      <c r="AL147" s="300">
        <f t="shared" si="70"/>
        <v>0</v>
      </c>
      <c r="AM147" s="300">
        <f t="shared" si="70"/>
        <v>0</v>
      </c>
      <c r="AN147" s="300">
        <f t="shared" si="70"/>
        <v>15235</v>
      </c>
      <c r="AO147" s="300">
        <f t="shared" si="70"/>
        <v>0</v>
      </c>
      <c r="AP147" s="300">
        <f t="shared" si="70"/>
        <v>0</v>
      </c>
      <c r="AQ147" s="300">
        <f t="shared" si="70"/>
        <v>15235</v>
      </c>
      <c r="AR147" s="300">
        <f t="shared" si="70"/>
        <v>0</v>
      </c>
      <c r="AS147" s="300">
        <f t="shared" si="70"/>
        <v>0</v>
      </c>
      <c r="AT147" s="300" t="str">
        <f t="shared" si="70"/>
        <v>     Taxation</v>
      </c>
      <c r="AU147" s="300">
        <f t="shared" si="70"/>
        <v>0</v>
      </c>
      <c r="AV147" s="300">
        <f t="shared" si="70"/>
        <v>0</v>
      </c>
      <c r="AW147" s="300">
        <f t="shared" si="70"/>
        <v>0</v>
      </c>
      <c r="AX147" s="300">
        <f t="shared" si="70"/>
        <v>0</v>
      </c>
      <c r="AY147" s="300">
        <f t="shared" si="70"/>
        <v>0</v>
      </c>
      <c r="AZ147" s="300">
        <f t="shared" si="70"/>
        <v>0</v>
      </c>
      <c r="BA147" s="300">
        <f t="shared" si="70"/>
        <v>0</v>
      </c>
      <c r="BB147" s="300">
        <f t="shared" si="70"/>
        <v>0</v>
      </c>
      <c r="BC147" s="300">
        <f t="shared" si="70"/>
        <v>73</v>
      </c>
      <c r="BD147" s="300">
        <f t="shared" si="70"/>
        <v>73</v>
      </c>
      <c r="BE147" s="300">
        <f t="shared" si="70"/>
        <v>0</v>
      </c>
      <c r="BF147" s="300">
        <f t="shared" si="70"/>
        <v>0</v>
      </c>
      <c r="BG147" s="300" t="str">
        <f t="shared" si="70"/>
        <v>     Taxation</v>
      </c>
      <c r="BH147" s="300">
        <f t="shared" si="70"/>
        <v>0</v>
      </c>
      <c r="BI147" s="300">
        <f t="shared" si="70"/>
        <v>2139.5</v>
      </c>
      <c r="BJ147" s="300">
        <f t="shared" si="70"/>
        <v>2266.6</v>
      </c>
      <c r="BK147" s="300">
        <f t="shared" si="70"/>
        <v>0</v>
      </c>
      <c r="BL147" s="300">
        <f t="shared" si="70"/>
        <v>0</v>
      </c>
      <c r="BM147" s="300">
        <f t="shared" si="70"/>
        <v>4406.1</v>
      </c>
    </row>
    <row r="148" spans="1:65" ht="12.75">
      <c r="A148" s="4">
        <v>1999</v>
      </c>
      <c r="B148" s="300">
        <f>'[4]Con B&amp;S'!B62</f>
        <v>1705667</v>
      </c>
      <c r="C148" s="300">
        <f>'[4]Con B&amp;S'!C62</f>
        <v>13313274</v>
      </c>
      <c r="D148" s="300">
        <f>'[4]Con B&amp;S'!D62</f>
        <v>28689</v>
      </c>
      <c r="E148" s="300">
        <f>'[4]Con B&amp;S'!E62</f>
        <v>15047630</v>
      </c>
      <c r="F148" s="300">
        <f>'[4]Con B&amp;S'!F62</f>
        <v>0</v>
      </c>
      <c r="G148" s="300">
        <f>'[4]Con B&amp;S'!G62</f>
        <v>0</v>
      </c>
      <c r="H148" s="300">
        <f>'[4]Con B&amp;S'!H62</f>
        <v>15047630</v>
      </c>
      <c r="I148" s="300">
        <f>'[4]Con B&amp;S'!I62</f>
        <v>0</v>
      </c>
      <c r="J148" s="300">
        <f>'[4]Con B&amp;S'!J62</f>
        <v>0</v>
      </c>
      <c r="K148" s="300" t="str">
        <f>'[4]Con B&amp;S'!K62</f>
        <v>     Taxation</v>
      </c>
      <c r="L148" s="300">
        <f>'[4]Con B&amp;S'!L62</f>
        <v>1628717</v>
      </c>
      <c r="M148" s="300">
        <f>'[4]Con B&amp;S'!M62</f>
        <v>1404066</v>
      </c>
      <c r="N148" s="300">
        <f>'[4]Con B&amp;S'!N62</f>
        <v>7630</v>
      </c>
      <c r="O148" s="300">
        <f>'[4]Con B&amp;S'!O62</f>
        <v>9450</v>
      </c>
      <c r="P148" s="300">
        <f>'[4]Con B&amp;S'!P62</f>
        <v>0</v>
      </c>
      <c r="Q148" s="300">
        <f>'[4]Con B&amp;S'!Q62</f>
        <v>1496</v>
      </c>
      <c r="R148" s="300">
        <f>'[4]Con B&amp;S'!R62</f>
        <v>5738000</v>
      </c>
      <c r="S148" s="300">
        <f>'[4]Con B&amp;S'!S62</f>
        <v>4219</v>
      </c>
      <c r="T148" s="300">
        <f>'[4]Con B&amp;S'!T62</f>
        <v>0</v>
      </c>
      <c r="U148" s="300">
        <f>'[4]Con B&amp;S'!U62</f>
        <v>600000</v>
      </c>
      <c r="V148" s="300">
        <f>'[4]Con B&amp;S'!V62</f>
        <v>3700000</v>
      </c>
      <c r="W148" s="300">
        <f>'[4]Con B&amp;S'!W62</f>
        <v>0</v>
      </c>
      <c r="X148" s="300">
        <f>'[4]Con B&amp;S'!X62</f>
        <v>219623</v>
      </c>
      <c r="Y148" s="300">
        <f>'[4]Con B&amp;S'!Y62</f>
        <v>0</v>
      </c>
      <c r="Z148" s="300">
        <f>'[4]Con B&amp;S'!Z62</f>
        <v>73</v>
      </c>
      <c r="AA148" s="300">
        <f>'[4]Con B&amp;S'!AA62</f>
        <v>13313274</v>
      </c>
      <c r="AB148" s="300">
        <f>'[4]Con B&amp;S'!AB62</f>
        <v>0</v>
      </c>
      <c r="AC148" s="300">
        <f>'[4]Con B&amp;S'!AC62</f>
        <v>0</v>
      </c>
      <c r="AD148" s="300" t="str">
        <f>'[4]Con B&amp;S'!AD62</f>
        <v>     Taxation</v>
      </c>
      <c r="AE148" s="300">
        <f>'[4]Con B&amp;S'!AE62</f>
        <v>0</v>
      </c>
      <c r="AF148" s="300">
        <f>'[4]Con B&amp;S'!AF62</f>
        <v>0</v>
      </c>
      <c r="AG148" s="300">
        <f>'[4]Con B&amp;S'!AG62</f>
        <v>0</v>
      </c>
      <c r="AH148" s="300">
        <f>'[4]Con B&amp;S'!AH62</f>
        <v>0</v>
      </c>
      <c r="AI148" s="300">
        <f>'[4]Con B&amp;S'!AI62</f>
        <v>0</v>
      </c>
      <c r="AJ148" s="300">
        <f>'[4]Con B&amp;S'!AJ62</f>
        <v>0</v>
      </c>
      <c r="AK148" s="300">
        <f>'[4]Con B&amp;S'!AK62</f>
        <v>0</v>
      </c>
      <c r="AL148" s="300">
        <f>'[4]Con B&amp;S'!AL62</f>
        <v>0</v>
      </c>
      <c r="AM148" s="300">
        <f>'[4]Con B&amp;S'!AM62</f>
        <v>0</v>
      </c>
      <c r="AN148" s="300">
        <f>'[4]Con B&amp;S'!AN62</f>
        <v>0</v>
      </c>
      <c r="AO148" s="300">
        <f>'[4]Con B&amp;S'!AO62</f>
        <v>0</v>
      </c>
      <c r="AP148" s="300">
        <f>'[4]Con B&amp;S'!AP62</f>
        <v>0</v>
      </c>
      <c r="AQ148" s="300">
        <f>'[4]Con B&amp;S'!AQ62</f>
        <v>0</v>
      </c>
      <c r="AR148" s="300">
        <f>'[4]Con B&amp;S'!AR62</f>
        <v>0</v>
      </c>
      <c r="AS148" s="300">
        <f>'[4]Con B&amp;S'!AS62</f>
        <v>0</v>
      </c>
      <c r="AT148" s="300" t="str">
        <f>'[4]Con B&amp;S'!AT62</f>
        <v>     Taxation</v>
      </c>
      <c r="AU148" s="300">
        <f>'[4]Con B&amp;S'!AU62</f>
        <v>0</v>
      </c>
      <c r="AV148" s="300">
        <f>'[4]Con B&amp;S'!AV62</f>
        <v>0</v>
      </c>
      <c r="AW148" s="300">
        <f>'[4]Con B&amp;S'!AW62</f>
        <v>0</v>
      </c>
      <c r="AX148" s="300">
        <f>'[4]Con B&amp;S'!AX62</f>
        <v>0</v>
      </c>
      <c r="AY148" s="300">
        <f>'[4]Con B&amp;S'!AY62</f>
        <v>0</v>
      </c>
      <c r="AZ148" s="300">
        <f>'[4]Con B&amp;S'!AZ62</f>
        <v>0</v>
      </c>
      <c r="BA148" s="300">
        <f>'[4]Con B&amp;S'!BA62</f>
        <v>0</v>
      </c>
      <c r="BB148" s="300">
        <f>'[4]Con B&amp;S'!BB62</f>
        <v>0</v>
      </c>
      <c r="BC148" s="300">
        <f>'[4]Con B&amp;S'!BC62</f>
        <v>73</v>
      </c>
      <c r="BD148" s="300">
        <f>'[4]Con B&amp;S'!BD62</f>
        <v>73</v>
      </c>
      <c r="BE148" s="300">
        <f>'[4]Con B&amp;S'!BE62</f>
        <v>0</v>
      </c>
      <c r="BF148" s="300">
        <f>'[4]Con B&amp;S'!BF62</f>
        <v>0</v>
      </c>
      <c r="BG148" s="300" t="str">
        <f>'[4]Con B&amp;S'!BG62</f>
        <v>     Taxation</v>
      </c>
      <c r="BH148" s="300">
        <f>'[4]Con B&amp;S'!BH62</f>
        <v>0</v>
      </c>
      <c r="BI148" s="300">
        <f>'[4]Con B&amp;S'!BI62</f>
        <v>26422</v>
      </c>
      <c r="BJ148" s="300">
        <f>'[4]Con B&amp;S'!BJ62</f>
        <v>2267</v>
      </c>
      <c r="BK148" s="300">
        <f>'[4]Con B&amp;S'!BK62</f>
        <v>28689</v>
      </c>
      <c r="BL148" s="300">
        <f>'[4]Con B&amp;S'!BL62</f>
        <v>0</v>
      </c>
      <c r="BM148" s="300">
        <f>'[4]Con B&amp;S'!BM62</f>
        <v>0</v>
      </c>
    </row>
    <row r="149" spans="2:65" ht="12.75">
      <c r="B149" s="300">
        <f>B147-B148</f>
        <v>0.21999999997206032</v>
      </c>
      <c r="C149" s="300">
        <f aca="true" t="shared" si="71" ref="C149:BM149">C147-C148</f>
        <v>1781205.0300000012</v>
      </c>
      <c r="D149" s="300">
        <f t="shared" si="71"/>
        <v>-24282.9</v>
      </c>
      <c r="E149" s="300">
        <f t="shared" si="71"/>
        <v>1756922.3500000015</v>
      </c>
      <c r="F149" s="300">
        <f t="shared" si="71"/>
        <v>0</v>
      </c>
      <c r="G149" s="300">
        <f t="shared" si="71"/>
        <v>0</v>
      </c>
      <c r="H149" s="300">
        <f t="shared" si="71"/>
        <v>1756922.3500000015</v>
      </c>
      <c r="I149" s="300">
        <f t="shared" si="71"/>
        <v>0</v>
      </c>
      <c r="J149" s="300">
        <f t="shared" si="71"/>
        <v>0</v>
      </c>
      <c r="K149" s="300">
        <f t="shared" si="71"/>
        <v>0</v>
      </c>
      <c r="L149" s="300">
        <f t="shared" si="71"/>
        <v>569757.25</v>
      </c>
      <c r="M149" s="300">
        <f t="shared" si="71"/>
        <v>1461756.4</v>
      </c>
      <c r="N149" s="300">
        <f t="shared" si="71"/>
        <v>0</v>
      </c>
      <c r="O149" s="300">
        <f t="shared" si="71"/>
        <v>0</v>
      </c>
      <c r="P149" s="300">
        <f t="shared" si="71"/>
        <v>88724</v>
      </c>
      <c r="Q149" s="300">
        <f t="shared" si="71"/>
        <v>0</v>
      </c>
      <c r="R149" s="300">
        <f t="shared" si="71"/>
        <v>0</v>
      </c>
      <c r="S149" s="300">
        <f t="shared" si="71"/>
        <v>0</v>
      </c>
      <c r="T149" s="300">
        <f t="shared" si="71"/>
        <v>0</v>
      </c>
      <c r="U149" s="300">
        <f t="shared" si="71"/>
        <v>-180893.62</v>
      </c>
      <c r="V149" s="300">
        <f t="shared" si="71"/>
        <v>46249</v>
      </c>
      <c r="W149" s="300">
        <f t="shared" si="71"/>
        <v>0</v>
      </c>
      <c r="X149" s="300">
        <f t="shared" si="71"/>
        <v>-219623</v>
      </c>
      <c r="Y149" s="300">
        <f t="shared" si="71"/>
        <v>15235</v>
      </c>
      <c r="Z149" s="300">
        <f t="shared" si="71"/>
        <v>0</v>
      </c>
      <c r="AA149" s="300">
        <f t="shared" si="71"/>
        <v>1781205.0300000012</v>
      </c>
      <c r="AB149" s="300">
        <f t="shared" si="71"/>
        <v>0</v>
      </c>
      <c r="AC149" s="300">
        <f t="shared" si="71"/>
        <v>0</v>
      </c>
      <c r="AD149" s="300">
        <f t="shared" si="71"/>
        <v>0</v>
      </c>
      <c r="AE149" s="300">
        <f t="shared" si="71"/>
        <v>0</v>
      </c>
      <c r="AF149" s="300">
        <f t="shared" si="71"/>
        <v>0</v>
      </c>
      <c r="AG149" s="300">
        <f t="shared" si="71"/>
        <v>0</v>
      </c>
      <c r="AH149" s="300">
        <f t="shared" si="71"/>
        <v>0</v>
      </c>
      <c r="AI149" s="300">
        <f t="shared" si="71"/>
        <v>0</v>
      </c>
      <c r="AJ149" s="300">
        <f t="shared" si="71"/>
        <v>0</v>
      </c>
      <c r="AK149" s="300">
        <f t="shared" si="71"/>
        <v>0</v>
      </c>
      <c r="AL149" s="300">
        <f t="shared" si="71"/>
        <v>0</v>
      </c>
      <c r="AM149" s="300">
        <f t="shared" si="71"/>
        <v>0</v>
      </c>
      <c r="AN149" s="300">
        <f t="shared" si="71"/>
        <v>15235</v>
      </c>
      <c r="AO149" s="300">
        <f t="shared" si="71"/>
        <v>0</v>
      </c>
      <c r="AP149" s="300">
        <f t="shared" si="71"/>
        <v>0</v>
      </c>
      <c r="AQ149" s="300">
        <f t="shared" si="71"/>
        <v>15235</v>
      </c>
      <c r="AR149" s="300">
        <f t="shared" si="71"/>
        <v>0</v>
      </c>
      <c r="AS149" s="300">
        <f t="shared" si="71"/>
        <v>0</v>
      </c>
      <c r="AT149" s="300">
        <f t="shared" si="71"/>
        <v>0</v>
      </c>
      <c r="AU149" s="300">
        <f t="shared" si="71"/>
        <v>0</v>
      </c>
      <c r="AV149" s="300">
        <f t="shared" si="71"/>
        <v>0</v>
      </c>
      <c r="AW149" s="300">
        <f t="shared" si="71"/>
        <v>0</v>
      </c>
      <c r="AX149" s="300">
        <f t="shared" si="71"/>
        <v>0</v>
      </c>
      <c r="AY149" s="300">
        <f t="shared" si="71"/>
        <v>0</v>
      </c>
      <c r="AZ149" s="300">
        <f t="shared" si="71"/>
        <v>0</v>
      </c>
      <c r="BA149" s="300">
        <f t="shared" si="71"/>
        <v>0</v>
      </c>
      <c r="BB149" s="300">
        <f t="shared" si="71"/>
        <v>0</v>
      </c>
      <c r="BC149" s="300">
        <f t="shared" si="71"/>
        <v>0</v>
      </c>
      <c r="BD149" s="300">
        <f t="shared" si="71"/>
        <v>0</v>
      </c>
      <c r="BE149" s="300">
        <f t="shared" si="71"/>
        <v>0</v>
      </c>
      <c r="BF149" s="300">
        <f t="shared" si="71"/>
        <v>0</v>
      </c>
      <c r="BG149" s="300">
        <f t="shared" si="71"/>
        <v>0</v>
      </c>
      <c r="BH149" s="300">
        <f t="shared" si="71"/>
        <v>0</v>
      </c>
      <c r="BI149" s="300">
        <f t="shared" si="71"/>
        <v>-24282.5</v>
      </c>
      <c r="BJ149" s="300">
        <f t="shared" si="71"/>
        <v>-0.40000000000009095</v>
      </c>
      <c r="BK149" s="300">
        <f t="shared" si="71"/>
        <v>-28689</v>
      </c>
      <c r="BL149" s="300">
        <f t="shared" si="71"/>
        <v>0</v>
      </c>
      <c r="BM149" s="300">
        <f t="shared" si="71"/>
        <v>4406.1</v>
      </c>
    </row>
    <row r="153" ht="12.75">
      <c r="A153" s="4" t="s">
        <v>1195</v>
      </c>
    </row>
    <row r="154" spans="1:2" ht="12.75">
      <c r="A154" s="4" t="s">
        <v>1196</v>
      </c>
      <c r="B154" s="300">
        <f>B103</f>
        <v>89015210</v>
      </c>
    </row>
    <row r="155" spans="1:2" ht="12.75">
      <c r="A155" s="4" t="s">
        <v>1197</v>
      </c>
      <c r="B155" s="397">
        <f>R103</f>
        <v>29581508.8</v>
      </c>
    </row>
    <row r="156" spans="1:2" ht="12.75">
      <c r="A156" s="4" t="s">
        <v>1198</v>
      </c>
      <c r="B156" s="397">
        <f>BJ103</f>
        <v>12804890.04</v>
      </c>
    </row>
    <row r="157" ht="12.75">
      <c r="B157" s="398">
        <f>SUM(B154:B156)</f>
        <v>131401608.84</v>
      </c>
    </row>
    <row r="160" ht="12.75">
      <c r="A160" s="4" t="s">
        <v>158</v>
      </c>
    </row>
    <row r="161" spans="1:65" ht="12.75">
      <c r="A161" s="4">
        <v>2000</v>
      </c>
      <c r="B161" s="300">
        <f>B26</f>
        <v>18017581</v>
      </c>
      <c r="C161" s="300">
        <f aca="true" t="shared" si="72" ref="C161:BM161">C26</f>
        <v>181716604</v>
      </c>
      <c r="D161" s="300">
        <f t="shared" si="72"/>
        <v>8561</v>
      </c>
      <c r="E161" s="300">
        <f t="shared" si="72"/>
        <v>199742746</v>
      </c>
      <c r="F161" s="300">
        <f t="shared" si="72"/>
        <v>0</v>
      </c>
      <c r="G161" s="300">
        <f t="shared" si="72"/>
        <v>0</v>
      </c>
      <c r="H161" s="300">
        <f t="shared" si="72"/>
        <v>199742746</v>
      </c>
      <c r="I161" s="300"/>
      <c r="J161" s="300">
        <f t="shared" si="72"/>
        <v>0</v>
      </c>
      <c r="K161" s="300" t="str">
        <f t="shared" si="72"/>
        <v>INVESTMENTS</v>
      </c>
      <c r="L161" s="300">
        <f t="shared" si="72"/>
        <v>42000000</v>
      </c>
      <c r="M161" s="300">
        <f t="shared" si="72"/>
        <v>107100000</v>
      </c>
      <c r="N161" s="300">
        <f t="shared" si="72"/>
        <v>0</v>
      </c>
      <c r="O161" s="300">
        <f t="shared" si="72"/>
        <v>0</v>
      </c>
      <c r="P161" s="300">
        <f t="shared" si="72"/>
        <v>0</v>
      </c>
      <c r="Q161" s="300">
        <f t="shared" si="72"/>
        <v>0</v>
      </c>
      <c r="R161" s="300">
        <f t="shared" si="72"/>
        <v>9949947</v>
      </c>
      <c r="S161" s="300">
        <f t="shared" si="72"/>
        <v>0</v>
      </c>
      <c r="T161" s="300">
        <f t="shared" si="72"/>
        <v>0</v>
      </c>
      <c r="U161" s="300">
        <f t="shared" si="72"/>
        <v>0</v>
      </c>
      <c r="V161" s="300">
        <f t="shared" si="72"/>
        <v>22666657</v>
      </c>
      <c r="W161" s="300">
        <f t="shared" si="72"/>
        <v>0</v>
      </c>
      <c r="X161" s="300">
        <f t="shared" si="72"/>
        <v>0</v>
      </c>
      <c r="Y161" s="300">
        <f t="shared" si="72"/>
        <v>0</v>
      </c>
      <c r="Z161" s="300">
        <f t="shared" si="72"/>
        <v>0</v>
      </c>
      <c r="AA161" s="300">
        <f t="shared" si="72"/>
        <v>181716604</v>
      </c>
      <c r="AB161" s="300">
        <f t="shared" si="72"/>
        <v>0</v>
      </c>
      <c r="AC161" s="300">
        <f t="shared" si="72"/>
        <v>0</v>
      </c>
      <c r="AD161" s="300" t="str">
        <f t="shared" si="72"/>
        <v>INVESTMENTS</v>
      </c>
      <c r="AE161" s="300">
        <f t="shared" si="72"/>
        <v>0</v>
      </c>
      <c r="AF161" s="300">
        <f t="shared" si="72"/>
        <v>0</v>
      </c>
      <c r="AG161" s="300">
        <f t="shared" si="72"/>
        <v>0</v>
      </c>
      <c r="AH161" s="300">
        <f t="shared" si="72"/>
        <v>0</v>
      </c>
      <c r="AI161" s="300">
        <f t="shared" si="72"/>
        <v>0</v>
      </c>
      <c r="AJ161" s="300">
        <f t="shared" si="72"/>
        <v>0</v>
      </c>
      <c r="AK161" s="300">
        <f t="shared" si="72"/>
        <v>0</v>
      </c>
      <c r="AL161" s="300">
        <f t="shared" si="72"/>
        <v>0</v>
      </c>
      <c r="AM161" s="300">
        <f t="shared" si="72"/>
        <v>0</v>
      </c>
      <c r="AN161" s="300">
        <f t="shared" si="72"/>
        <v>0</v>
      </c>
      <c r="AO161" s="300">
        <f t="shared" si="72"/>
        <v>0</v>
      </c>
      <c r="AP161" s="300">
        <f t="shared" si="72"/>
        <v>0</v>
      </c>
      <c r="AQ161" s="300">
        <f t="shared" si="72"/>
        <v>0</v>
      </c>
      <c r="AR161" s="300">
        <f t="shared" si="72"/>
        <v>0</v>
      </c>
      <c r="AS161" s="300">
        <f t="shared" si="72"/>
        <v>0</v>
      </c>
      <c r="AT161" s="300" t="str">
        <f t="shared" si="72"/>
        <v>INVESTMENTS</v>
      </c>
      <c r="AU161" s="300">
        <f t="shared" si="72"/>
        <v>0</v>
      </c>
      <c r="AV161" s="300">
        <f t="shared" si="72"/>
        <v>0</v>
      </c>
      <c r="AW161" s="300">
        <f t="shared" si="72"/>
        <v>0</v>
      </c>
      <c r="AX161" s="300">
        <f t="shared" si="72"/>
        <v>0</v>
      </c>
      <c r="AY161" s="300">
        <f t="shared" si="72"/>
        <v>0</v>
      </c>
      <c r="AZ161" s="300">
        <f t="shared" si="72"/>
        <v>0</v>
      </c>
      <c r="BA161" s="300">
        <f t="shared" si="72"/>
        <v>0</v>
      </c>
      <c r="BB161" s="300">
        <f t="shared" si="72"/>
        <v>0</v>
      </c>
      <c r="BC161" s="300">
        <f t="shared" si="72"/>
        <v>0</v>
      </c>
      <c r="BD161" s="300">
        <f t="shared" si="72"/>
        <v>0</v>
      </c>
      <c r="BE161" s="300">
        <f t="shared" si="72"/>
        <v>0</v>
      </c>
      <c r="BF161" s="300">
        <f t="shared" si="72"/>
        <v>0</v>
      </c>
      <c r="BG161" s="300" t="str">
        <f t="shared" si="72"/>
        <v>INVESTMENTS</v>
      </c>
      <c r="BH161" s="300">
        <f t="shared" si="72"/>
        <v>3561</v>
      </c>
      <c r="BI161" s="300">
        <f t="shared" si="72"/>
        <v>5000</v>
      </c>
      <c r="BJ161" s="300">
        <f t="shared" si="72"/>
        <v>0</v>
      </c>
      <c r="BK161" s="300">
        <f t="shared" si="72"/>
        <v>0</v>
      </c>
      <c r="BL161" s="300">
        <f t="shared" si="72"/>
        <v>0</v>
      </c>
      <c r="BM161" s="300">
        <f t="shared" si="72"/>
        <v>8561</v>
      </c>
    </row>
    <row r="162" spans="1:65" ht="12.75">
      <c r="A162" s="4">
        <v>1999</v>
      </c>
      <c r="B162" s="300">
        <f>'[4]Con B&amp;S'!B28</f>
        <v>18017581</v>
      </c>
      <c r="C162" s="300">
        <f>'[4]Con B&amp;S'!C28</f>
        <v>181716604</v>
      </c>
      <c r="D162" s="300">
        <f>'[4]Con B&amp;S'!D28</f>
        <v>8561</v>
      </c>
      <c r="E162" s="300">
        <f>'[4]Con B&amp;S'!E28</f>
        <v>199742746</v>
      </c>
      <c r="F162" s="300">
        <f>'[4]Con B&amp;S'!F28</f>
        <v>0</v>
      </c>
      <c r="G162" s="300">
        <f>'[4]Con B&amp;S'!G28</f>
        <v>1137728</v>
      </c>
      <c r="H162" s="300">
        <f>'[4]Con B&amp;S'!H28</f>
        <v>198605018</v>
      </c>
      <c r="I162" s="300"/>
      <c r="J162" s="300">
        <f>'[4]Con B&amp;S'!J28</f>
        <v>0</v>
      </c>
      <c r="K162" s="300" t="str">
        <f>'[4]Con B&amp;S'!K28</f>
        <v>OTHER INVESTMENTS</v>
      </c>
      <c r="L162" s="300">
        <f>'[4]Con B&amp;S'!L28</f>
        <v>42000000</v>
      </c>
      <c r="M162" s="300">
        <f>'[4]Con B&amp;S'!M28</f>
        <v>107100000</v>
      </c>
      <c r="N162" s="300">
        <f>'[4]Con B&amp;S'!N28</f>
        <v>0</v>
      </c>
      <c r="O162" s="300">
        <f>'[4]Con B&amp;S'!O28</f>
        <v>0</v>
      </c>
      <c r="P162" s="300">
        <f>'[4]Con B&amp;S'!P28</f>
        <v>0</v>
      </c>
      <c r="Q162" s="300">
        <f>'[4]Con B&amp;S'!Q28</f>
        <v>0</v>
      </c>
      <c r="R162" s="300">
        <f>'[4]Con B&amp;S'!R28</f>
        <v>9949947</v>
      </c>
      <c r="S162" s="300">
        <f>'[4]Con B&amp;S'!S28</f>
        <v>0</v>
      </c>
      <c r="T162" s="300">
        <f>'[4]Con B&amp;S'!T28</f>
        <v>0</v>
      </c>
      <c r="U162" s="300">
        <f>'[4]Con B&amp;S'!U28</f>
        <v>0</v>
      </c>
      <c r="V162" s="300">
        <f>'[4]Con B&amp;S'!V28</f>
        <v>22666657</v>
      </c>
      <c r="W162" s="300">
        <f>'[4]Con B&amp;S'!W28</f>
        <v>0</v>
      </c>
      <c r="X162" s="300">
        <f>'[4]Con B&amp;S'!X28</f>
        <v>0</v>
      </c>
      <c r="Y162" s="300">
        <f>'[4]Con B&amp;S'!Y28</f>
        <v>0</v>
      </c>
      <c r="Z162" s="300">
        <f>'[4]Con B&amp;S'!Z28</f>
        <v>0</v>
      </c>
      <c r="AA162" s="300">
        <f>'[4]Con B&amp;S'!AA28</f>
        <v>181716604</v>
      </c>
      <c r="AB162" s="300">
        <f>'[4]Con B&amp;S'!AB28</f>
        <v>0</v>
      </c>
      <c r="AC162" s="300">
        <f>'[4]Con B&amp;S'!AC28</f>
        <v>0</v>
      </c>
      <c r="AD162" s="300" t="str">
        <f>'[4]Con B&amp;S'!AD28</f>
        <v>OTHER INVESTMENTS</v>
      </c>
      <c r="AE162" s="300">
        <f>'[4]Con B&amp;S'!AE28</f>
        <v>0</v>
      </c>
      <c r="AF162" s="300">
        <f>'[4]Con B&amp;S'!AF28</f>
        <v>0</v>
      </c>
      <c r="AG162" s="300">
        <f>'[4]Con B&amp;S'!AG28</f>
        <v>0</v>
      </c>
      <c r="AH162" s="300">
        <f>'[4]Con B&amp;S'!AH28</f>
        <v>0</v>
      </c>
      <c r="AI162" s="300">
        <f>'[4]Con B&amp;S'!AI28</f>
        <v>0</v>
      </c>
      <c r="AJ162" s="300">
        <f>'[4]Con B&amp;S'!AJ28</f>
        <v>0</v>
      </c>
      <c r="AK162" s="300">
        <f>'[4]Con B&amp;S'!AK28</f>
        <v>0</v>
      </c>
      <c r="AL162" s="300">
        <f>'[4]Con B&amp;S'!AL28</f>
        <v>0</v>
      </c>
      <c r="AM162" s="300">
        <f>'[4]Con B&amp;S'!AM28</f>
        <v>0</v>
      </c>
      <c r="AN162" s="300">
        <f>'[4]Con B&amp;S'!AN28</f>
        <v>0</v>
      </c>
      <c r="AO162" s="300">
        <f>'[4]Con B&amp;S'!AO28</f>
        <v>0</v>
      </c>
      <c r="AP162" s="300">
        <f>'[4]Con B&amp;S'!AP28</f>
        <v>0</v>
      </c>
      <c r="AQ162" s="300">
        <f>'[4]Con B&amp;S'!AQ28</f>
        <v>0</v>
      </c>
      <c r="AR162" s="300">
        <f>'[4]Con B&amp;S'!AR28</f>
        <v>0</v>
      </c>
      <c r="AS162" s="300">
        <f>'[4]Con B&amp;S'!AS28</f>
        <v>0</v>
      </c>
      <c r="AT162" s="300" t="str">
        <f>'[4]Con B&amp;S'!AT28</f>
        <v>OTHER INVESTMENTS</v>
      </c>
      <c r="AU162" s="300">
        <f>'[4]Con B&amp;S'!AU28</f>
        <v>0</v>
      </c>
      <c r="AV162" s="300">
        <f>'[4]Con B&amp;S'!AV28</f>
        <v>0</v>
      </c>
      <c r="AW162" s="300">
        <f>'[4]Con B&amp;S'!AW28</f>
        <v>0</v>
      </c>
      <c r="AX162" s="300">
        <f>'[4]Con B&amp;S'!AX28</f>
        <v>0</v>
      </c>
      <c r="AY162" s="300">
        <f>'[4]Con B&amp;S'!AY28</f>
        <v>0</v>
      </c>
      <c r="AZ162" s="300">
        <f>'[4]Con B&amp;S'!AZ28</f>
        <v>0</v>
      </c>
      <c r="BA162" s="300">
        <f>'[4]Con B&amp;S'!BA28</f>
        <v>0</v>
      </c>
      <c r="BB162" s="300">
        <f>'[4]Con B&amp;S'!BB28</f>
        <v>0</v>
      </c>
      <c r="BC162" s="300">
        <f>'[4]Con B&amp;S'!BC28</f>
        <v>0</v>
      </c>
      <c r="BD162" s="300">
        <f>'[4]Con B&amp;S'!BD28</f>
        <v>0</v>
      </c>
      <c r="BE162" s="300">
        <f>'[4]Con B&amp;S'!BE28</f>
        <v>0</v>
      </c>
      <c r="BF162" s="300">
        <f>'[4]Con B&amp;S'!BF28</f>
        <v>0</v>
      </c>
      <c r="BG162" s="300" t="str">
        <f>'[4]Con B&amp;S'!BG28</f>
        <v>OTHER INVESTMENTS</v>
      </c>
      <c r="BH162" s="300">
        <f>'[4]Con B&amp;S'!BH28</f>
        <v>3561</v>
      </c>
      <c r="BI162" s="300">
        <f>'[4]Con B&amp;S'!BI28</f>
        <v>5000</v>
      </c>
      <c r="BJ162" s="300">
        <f>'[4]Con B&amp;S'!BJ28</f>
        <v>0</v>
      </c>
      <c r="BK162" s="300">
        <f>'[4]Con B&amp;S'!BK28</f>
        <v>8561</v>
      </c>
      <c r="BL162" s="300">
        <f>'[4]Con B&amp;S'!BL28</f>
        <v>0</v>
      </c>
      <c r="BM162" s="300">
        <f>'[4]Con B&amp;S'!BM28</f>
        <v>0</v>
      </c>
    </row>
    <row r="163" spans="2:65" ht="12.75">
      <c r="B163" s="300">
        <f aca="true" t="shared" si="73" ref="B163:H163">B161-B162</f>
        <v>0</v>
      </c>
      <c r="C163" s="300">
        <f t="shared" si="73"/>
        <v>0</v>
      </c>
      <c r="D163" s="300">
        <f t="shared" si="73"/>
        <v>0</v>
      </c>
      <c r="E163" s="300">
        <f t="shared" si="73"/>
        <v>0</v>
      </c>
      <c r="F163" s="300">
        <f t="shared" si="73"/>
        <v>0</v>
      </c>
      <c r="G163" s="300">
        <f t="shared" si="73"/>
        <v>-1137728</v>
      </c>
      <c r="H163" s="300">
        <f t="shared" si="73"/>
        <v>1137728</v>
      </c>
      <c r="I163" s="300"/>
      <c r="J163" s="300">
        <f aca="true" t="shared" si="74" ref="J163:AO163">J161-J162</f>
        <v>0</v>
      </c>
      <c r="K163" s="300">
        <f t="shared" si="74"/>
        <v>0</v>
      </c>
      <c r="L163" s="300">
        <f t="shared" si="74"/>
        <v>0</v>
      </c>
      <c r="M163" s="300">
        <f t="shared" si="74"/>
        <v>0</v>
      </c>
      <c r="N163" s="300">
        <f t="shared" si="74"/>
        <v>0</v>
      </c>
      <c r="O163" s="300">
        <f t="shared" si="74"/>
        <v>0</v>
      </c>
      <c r="P163" s="300">
        <f t="shared" si="74"/>
        <v>0</v>
      </c>
      <c r="Q163" s="300">
        <f t="shared" si="74"/>
        <v>0</v>
      </c>
      <c r="R163" s="300">
        <f t="shared" si="74"/>
        <v>0</v>
      </c>
      <c r="S163" s="300">
        <f t="shared" si="74"/>
        <v>0</v>
      </c>
      <c r="T163" s="300">
        <f t="shared" si="74"/>
        <v>0</v>
      </c>
      <c r="U163" s="300">
        <f t="shared" si="74"/>
        <v>0</v>
      </c>
      <c r="V163" s="300">
        <f t="shared" si="74"/>
        <v>0</v>
      </c>
      <c r="W163" s="300">
        <f t="shared" si="74"/>
        <v>0</v>
      </c>
      <c r="X163" s="300">
        <f t="shared" si="74"/>
        <v>0</v>
      </c>
      <c r="Y163" s="300">
        <f t="shared" si="74"/>
        <v>0</v>
      </c>
      <c r="Z163" s="300">
        <f t="shared" si="74"/>
        <v>0</v>
      </c>
      <c r="AA163" s="300">
        <f t="shared" si="74"/>
        <v>0</v>
      </c>
      <c r="AB163" s="300">
        <f t="shared" si="74"/>
        <v>0</v>
      </c>
      <c r="AC163" s="300">
        <f t="shared" si="74"/>
        <v>0</v>
      </c>
      <c r="AD163" s="300">
        <f t="shared" si="74"/>
        <v>0</v>
      </c>
      <c r="AE163" s="300">
        <f t="shared" si="74"/>
        <v>0</v>
      </c>
      <c r="AF163" s="300">
        <f t="shared" si="74"/>
        <v>0</v>
      </c>
      <c r="AG163" s="300">
        <f t="shared" si="74"/>
        <v>0</v>
      </c>
      <c r="AH163" s="300">
        <f t="shared" si="74"/>
        <v>0</v>
      </c>
      <c r="AI163" s="300">
        <f t="shared" si="74"/>
        <v>0</v>
      </c>
      <c r="AJ163" s="300">
        <f t="shared" si="74"/>
        <v>0</v>
      </c>
      <c r="AK163" s="300">
        <f t="shared" si="74"/>
        <v>0</v>
      </c>
      <c r="AL163" s="300">
        <f t="shared" si="74"/>
        <v>0</v>
      </c>
      <c r="AM163" s="300">
        <f t="shared" si="74"/>
        <v>0</v>
      </c>
      <c r="AN163" s="300">
        <f t="shared" si="74"/>
        <v>0</v>
      </c>
      <c r="AO163" s="300">
        <f t="shared" si="74"/>
        <v>0</v>
      </c>
      <c r="AP163" s="300">
        <f aca="true" t="shared" si="75" ref="AP163:BM163">AP161-AP162</f>
        <v>0</v>
      </c>
      <c r="AQ163" s="300">
        <f t="shared" si="75"/>
        <v>0</v>
      </c>
      <c r="AR163" s="300">
        <f t="shared" si="75"/>
        <v>0</v>
      </c>
      <c r="AS163" s="300">
        <f t="shared" si="75"/>
        <v>0</v>
      </c>
      <c r="AT163" s="300">
        <f t="shared" si="75"/>
        <v>0</v>
      </c>
      <c r="AU163" s="300">
        <f t="shared" si="75"/>
        <v>0</v>
      </c>
      <c r="AV163" s="300">
        <f t="shared" si="75"/>
        <v>0</v>
      </c>
      <c r="AW163" s="300">
        <f t="shared" si="75"/>
        <v>0</v>
      </c>
      <c r="AX163" s="300">
        <f t="shared" si="75"/>
        <v>0</v>
      </c>
      <c r="AY163" s="300">
        <f t="shared" si="75"/>
        <v>0</v>
      </c>
      <c r="AZ163" s="300">
        <f t="shared" si="75"/>
        <v>0</v>
      </c>
      <c r="BA163" s="300">
        <f t="shared" si="75"/>
        <v>0</v>
      </c>
      <c r="BB163" s="300">
        <f t="shared" si="75"/>
        <v>0</v>
      </c>
      <c r="BC163" s="300">
        <f t="shared" si="75"/>
        <v>0</v>
      </c>
      <c r="BD163" s="300">
        <f t="shared" si="75"/>
        <v>0</v>
      </c>
      <c r="BE163" s="300">
        <f t="shared" si="75"/>
        <v>0</v>
      </c>
      <c r="BF163" s="300">
        <f t="shared" si="75"/>
        <v>0</v>
      </c>
      <c r="BG163" s="300">
        <f t="shared" si="75"/>
        <v>0</v>
      </c>
      <c r="BH163" s="300">
        <f t="shared" si="75"/>
        <v>0</v>
      </c>
      <c r="BI163" s="300">
        <f t="shared" si="75"/>
        <v>0</v>
      </c>
      <c r="BJ163" s="300">
        <f t="shared" si="75"/>
        <v>0</v>
      </c>
      <c r="BK163" s="300">
        <f t="shared" si="75"/>
        <v>-8561</v>
      </c>
      <c r="BL163" s="300">
        <f t="shared" si="75"/>
        <v>0</v>
      </c>
      <c r="BM163" s="300">
        <f t="shared" si="75"/>
        <v>8561</v>
      </c>
    </row>
    <row r="165" ht="12.75">
      <c r="A165" s="4" t="s">
        <v>159</v>
      </c>
    </row>
    <row r="166" spans="1:65" ht="12.75">
      <c r="A166" s="4">
        <v>2000</v>
      </c>
      <c r="B166" s="300">
        <f>B27+B31</f>
        <v>0</v>
      </c>
      <c r="C166" s="300">
        <f aca="true" t="shared" si="76" ref="C166:BM166">C27+C31</f>
        <v>188343414.88</v>
      </c>
      <c r="D166" s="300">
        <f t="shared" si="76"/>
        <v>46000000</v>
      </c>
      <c r="E166" s="300">
        <f t="shared" si="76"/>
        <v>234343414.88</v>
      </c>
      <c r="F166" s="300">
        <f t="shared" si="76"/>
        <v>54192118</v>
      </c>
      <c r="G166" s="300">
        <f t="shared" si="76"/>
        <v>22671930</v>
      </c>
      <c r="H166" s="300">
        <f t="shared" si="76"/>
        <v>265863602.88</v>
      </c>
      <c r="I166" s="300">
        <f t="shared" si="76"/>
        <v>0</v>
      </c>
      <c r="J166" s="300">
        <f t="shared" si="76"/>
        <v>0</v>
      </c>
      <c r="K166" s="300">
        <f t="shared" si="76"/>
        <v>0</v>
      </c>
      <c r="L166" s="300">
        <f t="shared" si="76"/>
        <v>0</v>
      </c>
      <c r="M166" s="300">
        <f t="shared" si="76"/>
        <v>0</v>
      </c>
      <c r="N166" s="300">
        <f t="shared" si="76"/>
        <v>0</v>
      </c>
      <c r="O166" s="300">
        <f t="shared" si="76"/>
        <v>0</v>
      </c>
      <c r="P166" s="300">
        <f t="shared" si="76"/>
        <v>1300636</v>
      </c>
      <c r="Q166" s="300">
        <f t="shared" si="76"/>
        <v>237123</v>
      </c>
      <c r="R166" s="300">
        <f t="shared" si="76"/>
        <v>144801649</v>
      </c>
      <c r="S166" s="300">
        <f t="shared" si="76"/>
        <v>0</v>
      </c>
      <c r="T166" s="300">
        <f t="shared" si="76"/>
        <v>2800000</v>
      </c>
      <c r="U166" s="300">
        <f t="shared" si="76"/>
        <v>0</v>
      </c>
      <c r="V166" s="300">
        <f t="shared" si="76"/>
        <v>0</v>
      </c>
      <c r="W166" s="300">
        <f t="shared" si="76"/>
        <v>32000000</v>
      </c>
      <c r="X166" s="300">
        <f t="shared" si="76"/>
        <v>0</v>
      </c>
      <c r="Y166" s="300">
        <f t="shared" si="76"/>
        <v>2511000</v>
      </c>
      <c r="Z166" s="300">
        <f t="shared" si="76"/>
        <v>4693006.88</v>
      </c>
      <c r="AA166" s="300">
        <f t="shared" si="76"/>
        <v>188343414.88</v>
      </c>
      <c r="AB166" s="300">
        <f t="shared" si="76"/>
        <v>0</v>
      </c>
      <c r="AC166" s="300">
        <f t="shared" si="76"/>
        <v>0</v>
      </c>
      <c r="AD166" s="300">
        <f t="shared" si="76"/>
        <v>0</v>
      </c>
      <c r="AE166" s="300">
        <f t="shared" si="76"/>
        <v>0</v>
      </c>
      <c r="AF166" s="300">
        <f t="shared" si="76"/>
        <v>0</v>
      </c>
      <c r="AG166" s="300">
        <f t="shared" si="76"/>
        <v>0</v>
      </c>
      <c r="AH166" s="300">
        <f t="shared" si="76"/>
        <v>0</v>
      </c>
      <c r="AI166" s="300">
        <f t="shared" si="76"/>
        <v>0</v>
      </c>
      <c r="AJ166" s="300">
        <f t="shared" si="76"/>
        <v>0</v>
      </c>
      <c r="AK166" s="300">
        <f t="shared" si="76"/>
        <v>0</v>
      </c>
      <c r="AL166" s="300">
        <f t="shared" si="76"/>
        <v>0</v>
      </c>
      <c r="AM166" s="300">
        <f t="shared" si="76"/>
        <v>0</v>
      </c>
      <c r="AN166" s="300">
        <f t="shared" si="76"/>
        <v>2086000</v>
      </c>
      <c r="AO166" s="300">
        <f t="shared" si="76"/>
        <v>425000</v>
      </c>
      <c r="AP166" s="300">
        <f t="shared" si="76"/>
        <v>0</v>
      </c>
      <c r="AQ166" s="300">
        <f t="shared" si="76"/>
        <v>2511000</v>
      </c>
      <c r="AR166" s="300">
        <f t="shared" si="76"/>
        <v>0</v>
      </c>
      <c r="AS166" s="300">
        <f t="shared" si="76"/>
        <v>0</v>
      </c>
      <c r="AT166" s="300">
        <f t="shared" si="76"/>
        <v>0</v>
      </c>
      <c r="AU166" s="300">
        <f t="shared" si="76"/>
        <v>4693006.88</v>
      </c>
      <c r="AV166" s="300">
        <f t="shared" si="76"/>
        <v>0</v>
      </c>
      <c r="AW166" s="300">
        <f t="shared" si="76"/>
        <v>0</v>
      </c>
      <c r="AX166" s="300">
        <f t="shared" si="76"/>
        <v>0</v>
      </c>
      <c r="AY166" s="300">
        <f t="shared" si="76"/>
        <v>0</v>
      </c>
      <c r="AZ166" s="300">
        <f t="shared" si="76"/>
        <v>0</v>
      </c>
      <c r="BA166" s="300">
        <f t="shared" si="76"/>
        <v>0</v>
      </c>
      <c r="BB166" s="300">
        <f t="shared" si="76"/>
        <v>0</v>
      </c>
      <c r="BC166" s="300">
        <f t="shared" si="76"/>
        <v>0</v>
      </c>
      <c r="BD166" s="300">
        <f t="shared" si="76"/>
        <v>4693006.88</v>
      </c>
      <c r="BE166" s="300">
        <f t="shared" si="76"/>
        <v>0</v>
      </c>
      <c r="BF166" s="300">
        <f t="shared" si="76"/>
        <v>0</v>
      </c>
      <c r="BG166" s="300">
        <f t="shared" si="76"/>
        <v>0</v>
      </c>
      <c r="BH166" s="300">
        <f t="shared" si="76"/>
        <v>0</v>
      </c>
      <c r="BI166" s="300">
        <f t="shared" si="76"/>
        <v>0</v>
      </c>
      <c r="BJ166" s="300">
        <f t="shared" si="76"/>
        <v>46000000</v>
      </c>
      <c r="BK166" s="300">
        <f t="shared" si="76"/>
        <v>0</v>
      </c>
      <c r="BL166" s="300">
        <f t="shared" si="76"/>
        <v>0</v>
      </c>
      <c r="BM166" s="300">
        <f t="shared" si="76"/>
        <v>46000000</v>
      </c>
    </row>
    <row r="167" spans="1:65" ht="12.75">
      <c r="A167" s="4">
        <v>1999</v>
      </c>
      <c r="B167" s="300">
        <f>'[4]Con B&amp;S'!B27+'[4]Con B&amp;S'!B32</f>
        <v>0</v>
      </c>
      <c r="C167" s="300">
        <f>'[4]Con B&amp;S'!C27+'[4]Con B&amp;S'!C32</f>
        <v>196382859</v>
      </c>
      <c r="D167" s="300">
        <f>'[4]Con B&amp;S'!D27+'[4]Con B&amp;S'!D32</f>
        <v>46000000</v>
      </c>
      <c r="E167" s="300">
        <f>'[4]Con B&amp;S'!E27+'[4]Con B&amp;S'!E32</f>
        <v>242382859</v>
      </c>
      <c r="F167" s="300">
        <f>'[4]Con B&amp;S'!F27+'[4]Con B&amp;S'!F32</f>
        <v>54192118</v>
      </c>
      <c r="G167" s="300">
        <f>'[4]Con B&amp;S'!G27+'[4]Con B&amp;S'!G32</f>
        <v>22671930</v>
      </c>
      <c r="H167" s="300">
        <f>'[4]Con B&amp;S'!H27+'[4]Con B&amp;S'!H32</f>
        <v>273903047</v>
      </c>
      <c r="I167" s="300">
        <f>'[4]Con B&amp;S'!I27+'[4]Con B&amp;S'!I32</f>
        <v>0</v>
      </c>
      <c r="J167" s="300">
        <f>'[4]Con B&amp;S'!J27+'[4]Con B&amp;S'!J32</f>
        <v>0</v>
      </c>
      <c r="K167" s="300">
        <f>'[4]Con B&amp;S'!K27+'[4]Con B&amp;S'!K32</f>
        <v>0</v>
      </c>
      <c r="L167" s="300">
        <f>'[4]Con B&amp;S'!L27+'[4]Con B&amp;S'!L32</f>
        <v>0</v>
      </c>
      <c r="M167" s="300">
        <f>'[4]Con B&amp;S'!M27+'[4]Con B&amp;S'!M32</f>
        <v>0</v>
      </c>
      <c r="N167" s="300">
        <f>'[4]Con B&amp;S'!N27+'[4]Con B&amp;S'!N32</f>
        <v>0</v>
      </c>
      <c r="O167" s="300">
        <f>'[4]Con B&amp;S'!O27+'[4]Con B&amp;S'!O32</f>
        <v>0</v>
      </c>
      <c r="P167" s="300">
        <f>'[4]Con B&amp;S'!P27+'[4]Con B&amp;S'!P32</f>
        <v>15885420</v>
      </c>
      <c r="Q167" s="300">
        <f>'[4]Con B&amp;S'!Q27+'[4]Con B&amp;S'!Q32</f>
        <v>237123</v>
      </c>
      <c r="R167" s="300">
        <f>'[4]Con B&amp;S'!R27+'[4]Con B&amp;S'!R32</f>
        <v>138256309</v>
      </c>
      <c r="S167" s="300">
        <f>'[4]Con B&amp;S'!S27+'[4]Con B&amp;S'!S32</f>
        <v>0</v>
      </c>
      <c r="T167" s="300">
        <f>'[4]Con B&amp;S'!T27+'[4]Con B&amp;S'!T32</f>
        <v>2800000</v>
      </c>
      <c r="U167" s="300">
        <f>'[4]Con B&amp;S'!U27+'[4]Con B&amp;S'!U32</f>
        <v>0</v>
      </c>
      <c r="V167" s="300">
        <f>'[4]Con B&amp;S'!V27+'[4]Con B&amp;S'!V32</f>
        <v>0</v>
      </c>
      <c r="W167" s="300">
        <f>'[4]Con B&amp;S'!W27+'[4]Con B&amp;S'!W32</f>
        <v>32000000</v>
      </c>
      <c r="X167" s="300">
        <f>'[4]Con B&amp;S'!X27+'[4]Con B&amp;S'!X32</f>
        <v>0</v>
      </c>
      <c r="Y167" s="300">
        <f>'[4]Con B&amp;S'!Y27+'[4]Con B&amp;S'!Y32</f>
        <v>2511000</v>
      </c>
      <c r="Z167" s="300">
        <f>'[4]Con B&amp;S'!Z27+'[4]Con B&amp;S'!Z32</f>
        <v>4693007</v>
      </c>
      <c r="AA167" s="300">
        <f>'[4]Con B&amp;S'!AA27+'[4]Con B&amp;S'!AA32</f>
        <v>196382859</v>
      </c>
      <c r="AB167" s="300">
        <f>'[4]Con B&amp;S'!AB27+'[4]Con B&amp;S'!AB32</f>
        <v>0</v>
      </c>
      <c r="AC167" s="300">
        <f>'[4]Con B&amp;S'!AC27+'[4]Con B&amp;S'!AC32</f>
        <v>0</v>
      </c>
      <c r="AD167" s="300">
        <f>'[4]Con B&amp;S'!AD27+'[4]Con B&amp;S'!AD32</f>
        <v>0</v>
      </c>
      <c r="AE167" s="300">
        <f>'[4]Con B&amp;S'!AE27+'[4]Con B&amp;S'!AE32</f>
        <v>0</v>
      </c>
      <c r="AF167" s="300">
        <f>'[4]Con B&amp;S'!AF27+'[4]Con B&amp;S'!AF32</f>
        <v>0</v>
      </c>
      <c r="AG167" s="300">
        <f>'[4]Con B&amp;S'!AG27+'[4]Con B&amp;S'!AG32</f>
        <v>0</v>
      </c>
      <c r="AH167" s="300">
        <f>'[4]Con B&amp;S'!AH27+'[4]Con B&amp;S'!AH32</f>
        <v>0</v>
      </c>
      <c r="AI167" s="300">
        <f>'[4]Con B&amp;S'!AI27+'[4]Con B&amp;S'!AI32</f>
        <v>0</v>
      </c>
      <c r="AJ167" s="300">
        <f>'[4]Con B&amp;S'!AJ27+'[4]Con B&amp;S'!AJ32</f>
        <v>0</v>
      </c>
      <c r="AK167" s="300">
        <f>'[4]Con B&amp;S'!AK27+'[4]Con B&amp;S'!AK32</f>
        <v>0</v>
      </c>
      <c r="AL167" s="300">
        <f>'[4]Con B&amp;S'!AL27+'[4]Con B&amp;S'!AL32</f>
        <v>0</v>
      </c>
      <c r="AM167" s="300">
        <f>'[4]Con B&amp;S'!AM27+'[4]Con B&amp;S'!AM32</f>
        <v>0</v>
      </c>
      <c r="AN167" s="300">
        <f>'[4]Con B&amp;S'!AN27+'[4]Con B&amp;S'!AN32</f>
        <v>2086000</v>
      </c>
      <c r="AO167" s="300">
        <f>'[4]Con B&amp;S'!AO27+'[4]Con B&amp;S'!AO32</f>
        <v>425000</v>
      </c>
      <c r="AP167" s="300">
        <f>'[4]Con B&amp;S'!AP27+'[4]Con B&amp;S'!AP32</f>
        <v>0</v>
      </c>
      <c r="AQ167" s="300">
        <f>'[4]Con B&amp;S'!AQ27+'[4]Con B&amp;S'!AQ32</f>
        <v>2511000</v>
      </c>
      <c r="AR167" s="300">
        <f>'[4]Con B&amp;S'!AR27+'[4]Con B&amp;S'!AR32</f>
        <v>0</v>
      </c>
      <c r="AS167" s="300">
        <f>'[4]Con B&amp;S'!AS27+'[4]Con B&amp;S'!AS32</f>
        <v>0</v>
      </c>
      <c r="AT167" s="300">
        <f>'[4]Con B&amp;S'!AT27+'[4]Con B&amp;S'!AT32</f>
        <v>0</v>
      </c>
      <c r="AU167" s="300">
        <f>'[4]Con B&amp;S'!AU27+'[4]Con B&amp;S'!AU32</f>
        <v>4693007</v>
      </c>
      <c r="AV167" s="300">
        <f>'[4]Con B&amp;S'!AV27+'[4]Con B&amp;S'!AV32</f>
        <v>0</v>
      </c>
      <c r="AW167" s="300">
        <f>'[4]Con B&amp;S'!AW27+'[4]Con B&amp;S'!AW32</f>
        <v>0</v>
      </c>
      <c r="AX167" s="300">
        <f>'[4]Con B&amp;S'!AX27+'[4]Con B&amp;S'!AX32</f>
        <v>0</v>
      </c>
      <c r="AY167" s="300">
        <f>'[4]Con B&amp;S'!AY27+'[4]Con B&amp;S'!AY32</f>
        <v>0</v>
      </c>
      <c r="AZ167" s="300">
        <f>'[4]Con B&amp;S'!AZ27+'[4]Con B&amp;S'!AZ32</f>
        <v>0</v>
      </c>
      <c r="BA167" s="300">
        <f>'[4]Con B&amp;S'!BA27+'[4]Con B&amp;S'!BA32</f>
        <v>0</v>
      </c>
      <c r="BB167" s="300">
        <f>'[4]Con B&amp;S'!BB27+'[4]Con B&amp;S'!BB32</f>
        <v>0</v>
      </c>
      <c r="BC167" s="300">
        <f>'[4]Con B&amp;S'!BC27+'[4]Con B&amp;S'!BC32</f>
        <v>0</v>
      </c>
      <c r="BD167" s="300">
        <f>'[4]Con B&amp;S'!BD27+'[4]Con B&amp;S'!BD32</f>
        <v>4693007</v>
      </c>
      <c r="BE167" s="300">
        <f>'[4]Con B&amp;S'!BE27+'[4]Con B&amp;S'!BE32</f>
        <v>0</v>
      </c>
      <c r="BF167" s="300">
        <f>'[4]Con B&amp;S'!BF27+'[4]Con B&amp;S'!BF32</f>
        <v>0</v>
      </c>
      <c r="BG167" s="300">
        <f>'[4]Con B&amp;S'!BG27+'[4]Con B&amp;S'!BG32</f>
        <v>0</v>
      </c>
      <c r="BH167" s="300">
        <f>'[4]Con B&amp;S'!BH27+'[4]Con B&amp;S'!BH32</f>
        <v>0</v>
      </c>
      <c r="BI167" s="300">
        <f>'[4]Con B&amp;S'!BI27+'[4]Con B&amp;S'!BI32</f>
        <v>0</v>
      </c>
      <c r="BJ167" s="300">
        <f>'[4]Con B&amp;S'!BJ27+'[4]Con B&amp;S'!BJ32</f>
        <v>46000000</v>
      </c>
      <c r="BK167" s="300">
        <f>'[4]Con B&amp;S'!BK27+'[4]Con B&amp;S'!BK32</f>
        <v>46000000</v>
      </c>
      <c r="BL167" s="300">
        <f>'[4]Con B&amp;S'!BL27+'[4]Con B&amp;S'!BL32</f>
        <v>0</v>
      </c>
      <c r="BM167" s="300">
        <f>'[4]Con B&amp;S'!BM27+'[4]Con B&amp;S'!BM32</f>
        <v>0</v>
      </c>
    </row>
    <row r="168" spans="2:65" ht="12.75">
      <c r="B168" s="300">
        <f>B166-B167</f>
        <v>0</v>
      </c>
      <c r="C168" s="300">
        <f aca="true" t="shared" si="77" ref="C168:BM168">C166-C167</f>
        <v>-8039444.120000005</v>
      </c>
      <c r="D168" s="300">
        <f t="shared" si="77"/>
        <v>0</v>
      </c>
      <c r="E168" s="300">
        <f t="shared" si="77"/>
        <v>-8039444.120000005</v>
      </c>
      <c r="F168" s="300">
        <f t="shared" si="77"/>
        <v>0</v>
      </c>
      <c r="G168" s="300">
        <f t="shared" si="77"/>
        <v>0</v>
      </c>
      <c r="H168" s="300">
        <f t="shared" si="77"/>
        <v>-8039444.120000005</v>
      </c>
      <c r="I168" s="300">
        <f t="shared" si="77"/>
        <v>0</v>
      </c>
      <c r="J168" s="300">
        <f t="shared" si="77"/>
        <v>0</v>
      </c>
      <c r="K168" s="300">
        <f t="shared" si="77"/>
        <v>0</v>
      </c>
      <c r="L168" s="300">
        <f t="shared" si="77"/>
        <v>0</v>
      </c>
      <c r="M168" s="300">
        <f t="shared" si="77"/>
        <v>0</v>
      </c>
      <c r="N168" s="300">
        <f t="shared" si="77"/>
        <v>0</v>
      </c>
      <c r="O168" s="300">
        <f t="shared" si="77"/>
        <v>0</v>
      </c>
      <c r="P168" s="300">
        <f t="shared" si="77"/>
        <v>-14584784</v>
      </c>
      <c r="Q168" s="300">
        <f t="shared" si="77"/>
        <v>0</v>
      </c>
      <c r="R168" s="300">
        <f t="shared" si="77"/>
        <v>6545340</v>
      </c>
      <c r="S168" s="300">
        <f t="shared" si="77"/>
        <v>0</v>
      </c>
      <c r="T168" s="300">
        <f t="shared" si="77"/>
        <v>0</v>
      </c>
      <c r="U168" s="300">
        <f t="shared" si="77"/>
        <v>0</v>
      </c>
      <c r="V168" s="300">
        <f t="shared" si="77"/>
        <v>0</v>
      </c>
      <c r="W168" s="300">
        <f t="shared" si="77"/>
        <v>0</v>
      </c>
      <c r="X168" s="300">
        <f t="shared" si="77"/>
        <v>0</v>
      </c>
      <c r="Y168" s="300">
        <f t="shared" si="77"/>
        <v>0</v>
      </c>
      <c r="Z168" s="300">
        <f t="shared" si="77"/>
        <v>-0.12000000011175871</v>
      </c>
      <c r="AA168" s="300">
        <f t="shared" si="77"/>
        <v>-8039444.120000005</v>
      </c>
      <c r="AB168" s="300">
        <f t="shared" si="77"/>
        <v>0</v>
      </c>
      <c r="AC168" s="300">
        <f t="shared" si="77"/>
        <v>0</v>
      </c>
      <c r="AD168" s="300">
        <f t="shared" si="77"/>
        <v>0</v>
      </c>
      <c r="AE168" s="300">
        <f t="shared" si="77"/>
        <v>0</v>
      </c>
      <c r="AF168" s="300">
        <f t="shared" si="77"/>
        <v>0</v>
      </c>
      <c r="AG168" s="300">
        <f t="shared" si="77"/>
        <v>0</v>
      </c>
      <c r="AH168" s="300">
        <f t="shared" si="77"/>
        <v>0</v>
      </c>
      <c r="AI168" s="300">
        <f t="shared" si="77"/>
        <v>0</v>
      </c>
      <c r="AJ168" s="300">
        <f t="shared" si="77"/>
        <v>0</v>
      </c>
      <c r="AK168" s="300">
        <f t="shared" si="77"/>
        <v>0</v>
      </c>
      <c r="AL168" s="300">
        <f t="shared" si="77"/>
        <v>0</v>
      </c>
      <c r="AM168" s="300">
        <f t="shared" si="77"/>
        <v>0</v>
      </c>
      <c r="AN168" s="300">
        <f t="shared" si="77"/>
        <v>0</v>
      </c>
      <c r="AO168" s="300">
        <f t="shared" si="77"/>
        <v>0</v>
      </c>
      <c r="AP168" s="300">
        <f t="shared" si="77"/>
        <v>0</v>
      </c>
      <c r="AQ168" s="300">
        <f t="shared" si="77"/>
        <v>0</v>
      </c>
      <c r="AR168" s="300">
        <f t="shared" si="77"/>
        <v>0</v>
      </c>
      <c r="AS168" s="300">
        <f t="shared" si="77"/>
        <v>0</v>
      </c>
      <c r="AT168" s="300">
        <f t="shared" si="77"/>
        <v>0</v>
      </c>
      <c r="AU168" s="300">
        <f t="shared" si="77"/>
        <v>-0.12000000011175871</v>
      </c>
      <c r="AV168" s="300">
        <f t="shared" si="77"/>
        <v>0</v>
      </c>
      <c r="AW168" s="300">
        <f t="shared" si="77"/>
        <v>0</v>
      </c>
      <c r="AX168" s="300">
        <f t="shared" si="77"/>
        <v>0</v>
      </c>
      <c r="AY168" s="300">
        <f t="shared" si="77"/>
        <v>0</v>
      </c>
      <c r="AZ168" s="300">
        <f t="shared" si="77"/>
        <v>0</v>
      </c>
      <c r="BA168" s="300">
        <f t="shared" si="77"/>
        <v>0</v>
      </c>
      <c r="BB168" s="300">
        <f t="shared" si="77"/>
        <v>0</v>
      </c>
      <c r="BC168" s="300">
        <f t="shared" si="77"/>
        <v>0</v>
      </c>
      <c r="BD168" s="300">
        <f t="shared" si="77"/>
        <v>-0.12000000011175871</v>
      </c>
      <c r="BE168" s="300">
        <f t="shared" si="77"/>
        <v>0</v>
      </c>
      <c r="BF168" s="300">
        <f t="shared" si="77"/>
        <v>0</v>
      </c>
      <c r="BG168" s="300">
        <f t="shared" si="77"/>
        <v>0</v>
      </c>
      <c r="BH168" s="300">
        <f t="shared" si="77"/>
        <v>0</v>
      </c>
      <c r="BI168" s="300">
        <f t="shared" si="77"/>
        <v>0</v>
      </c>
      <c r="BJ168" s="300">
        <f t="shared" si="77"/>
        <v>0</v>
      </c>
      <c r="BK168" s="300">
        <f t="shared" si="77"/>
        <v>-46000000</v>
      </c>
      <c r="BL168" s="300">
        <f t="shared" si="77"/>
        <v>0</v>
      </c>
      <c r="BM168" s="300">
        <f t="shared" si="77"/>
        <v>46000000</v>
      </c>
    </row>
  </sheetData>
  <mergeCells count="2">
    <mergeCell ref="C5:D5"/>
    <mergeCell ref="C85:D85"/>
  </mergeCells>
  <printOptions/>
  <pageMargins left="0.74" right="0.61" top="0.5" bottom="0.5" header="0.27" footer="0.25"/>
  <pageSetup horizontalDpi="180" verticalDpi="180" orientation="landscape" paperSize="9" scale="45" r:id="rId3"/>
  <headerFooter alignWithMargins="0">
    <oddFooter>&amp;L&amp;"Times New Roman,Regular"&amp;8&amp;F   &amp;A&amp;C&amp;"Times New Roman,Regular"&amp;8&amp;P&amp;R&amp;"Times New Roman,Regular"&amp;8&amp;D   &amp;T</oddFooter>
  </headerFooter>
  <colBreaks count="4" manualBreakCount="4">
    <brk id="10" max="65535" man="1"/>
    <brk id="29" max="65535" man="1"/>
    <brk id="45" max="65535" man="1"/>
    <brk id="5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S182"/>
  <sheetViews>
    <sheetView showGridLines="0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3" sqref="G13"/>
    </sheetView>
  </sheetViews>
  <sheetFormatPr defaultColWidth="9.7109375" defaultRowHeight="12.75"/>
  <cols>
    <col min="1" max="1" width="3.140625" style="91" customWidth="1"/>
    <col min="2" max="2" width="49.7109375" style="0" customWidth="1"/>
    <col min="3" max="10" width="12.7109375" style="91" customWidth="1"/>
    <col min="11" max="11" width="8.7109375" style="91" customWidth="1"/>
    <col min="12" max="12" width="50.7109375" style="91" customWidth="1"/>
    <col min="13" max="28" width="12.7109375" style="91" customWidth="1"/>
    <col min="29" max="29" width="6.7109375" style="91" customWidth="1"/>
    <col min="30" max="30" width="50.7109375" style="91" customWidth="1"/>
    <col min="31" max="43" width="12.7109375" style="91" customWidth="1"/>
    <col min="44" max="44" width="6.7109375" style="91" customWidth="1"/>
    <col min="45" max="45" width="50.7109375" style="91" customWidth="1"/>
    <col min="46" max="55" width="12.7109375" style="91" customWidth="1"/>
    <col min="56" max="56" width="6.7109375" style="91" customWidth="1"/>
    <col min="57" max="57" width="6.7109375" style="202" customWidth="1"/>
    <col min="58" max="58" width="50.7109375" style="91" customWidth="1"/>
    <col min="59" max="64" width="12.7109375" style="91" customWidth="1"/>
    <col min="65" max="65" width="5.8515625" style="91" customWidth="1"/>
    <col min="66" max="66" width="6.7109375" style="91" customWidth="1"/>
    <col min="67" max="67" width="50.7109375" style="91" customWidth="1"/>
    <col min="68" max="69" width="12.7109375" style="91" customWidth="1"/>
    <col min="70" max="70" width="16.8515625" style="91" bestFit="1" customWidth="1"/>
    <col min="71" max="16384" width="9.7109375" style="91" customWidth="1"/>
  </cols>
  <sheetData>
    <row r="1" spans="1:71" s="147" customFormat="1" ht="18" customHeight="1">
      <c r="A1" s="145" t="s">
        <v>1383</v>
      </c>
      <c r="C1" s="302"/>
      <c r="D1" s="302"/>
      <c r="E1" s="146"/>
      <c r="F1" s="146"/>
      <c r="G1" s="146"/>
      <c r="H1" s="146"/>
      <c r="I1" s="146"/>
      <c r="J1" s="146"/>
      <c r="K1" s="146"/>
      <c r="L1" s="145" t="s">
        <v>1383</v>
      </c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5" t="s">
        <v>1383</v>
      </c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53" t="s">
        <v>537</v>
      </c>
      <c r="AR1" s="146"/>
      <c r="AS1" s="145" t="s">
        <v>1383</v>
      </c>
      <c r="AT1" s="146"/>
      <c r="AU1" s="146"/>
      <c r="AV1" s="146"/>
      <c r="AW1" s="146"/>
      <c r="AX1" s="146"/>
      <c r="AY1" s="146"/>
      <c r="AZ1" s="146"/>
      <c r="BA1" s="146"/>
      <c r="BB1" s="146"/>
      <c r="BC1" s="153" t="s">
        <v>538</v>
      </c>
      <c r="BD1" s="146"/>
      <c r="BE1" s="303"/>
      <c r="BF1" s="145" t="s">
        <v>1383</v>
      </c>
      <c r="BG1" s="146"/>
      <c r="BH1" s="145"/>
      <c r="BI1" s="146"/>
      <c r="BJ1" s="146"/>
      <c r="BK1" s="146"/>
      <c r="BL1" s="146"/>
      <c r="BM1" s="146"/>
      <c r="BN1" s="146"/>
      <c r="BO1" s="145" t="s">
        <v>1383</v>
      </c>
      <c r="BP1" s="146"/>
      <c r="BQ1" s="146"/>
      <c r="BR1" s="309">
        <f>-62853887</f>
        <v>-62853887</v>
      </c>
      <c r="BS1" s="310">
        <f>BR1/30030000</f>
        <v>-2.0930365301365303</v>
      </c>
    </row>
    <row r="2" spans="1:70" s="150" customFormat="1" ht="18" customHeight="1">
      <c r="A2" s="145" t="s">
        <v>168</v>
      </c>
      <c r="C2" s="322"/>
      <c r="D2" s="322"/>
      <c r="E2" s="148"/>
      <c r="F2" s="343"/>
      <c r="G2" s="148"/>
      <c r="H2" s="148"/>
      <c r="I2" s="148"/>
      <c r="J2" s="148"/>
      <c r="K2" s="148"/>
      <c r="L2" s="149" t="s">
        <v>92</v>
      </c>
      <c r="M2" s="148"/>
      <c r="N2" s="148"/>
      <c r="O2" s="148"/>
      <c r="P2" s="148"/>
      <c r="Q2" s="148"/>
      <c r="R2" s="148"/>
      <c r="S2" s="270"/>
      <c r="T2" s="270"/>
      <c r="U2" s="148"/>
      <c r="V2" s="148"/>
      <c r="W2" s="148"/>
      <c r="X2" s="148"/>
      <c r="Y2" s="148"/>
      <c r="Z2" s="148"/>
      <c r="AA2" s="148"/>
      <c r="AB2" s="148"/>
      <c r="AC2" s="148"/>
      <c r="AD2" s="149" t="s">
        <v>93</v>
      </c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9" t="s">
        <v>94</v>
      </c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314"/>
      <c r="BF2" s="149" t="s">
        <v>95</v>
      </c>
      <c r="BG2" s="148"/>
      <c r="BH2" s="149"/>
      <c r="BI2" s="145"/>
      <c r="BJ2" s="148"/>
      <c r="BK2" s="148"/>
      <c r="BL2" s="148"/>
      <c r="BM2" s="148"/>
      <c r="BN2" s="148"/>
      <c r="BO2" s="149" t="s">
        <v>1000</v>
      </c>
      <c r="BP2" s="148"/>
      <c r="BQ2" s="148" t="s">
        <v>404</v>
      </c>
      <c r="BR2" s="311">
        <v>2.09303654</v>
      </c>
    </row>
    <row r="3" spans="1:69" s="150" customFormat="1" ht="18" customHeight="1">
      <c r="A3" s="145" t="s">
        <v>355</v>
      </c>
      <c r="C3" s="148"/>
      <c r="D3" s="148"/>
      <c r="E3" s="148"/>
      <c r="F3" s="343"/>
      <c r="G3" s="148"/>
      <c r="H3" s="148"/>
      <c r="I3" s="148"/>
      <c r="J3" s="148"/>
      <c r="K3" s="148"/>
      <c r="L3" s="151" t="str">
        <f>A3</f>
        <v>For the Period from 1st July 1999 to  30th September 2000</v>
      </c>
      <c r="M3" s="314"/>
      <c r="N3" s="148" t="s">
        <v>269</v>
      </c>
      <c r="O3" s="148"/>
      <c r="P3" s="148"/>
      <c r="Q3" s="148"/>
      <c r="R3" s="148"/>
      <c r="S3" s="109"/>
      <c r="T3" s="109"/>
      <c r="U3" s="148"/>
      <c r="V3" s="148"/>
      <c r="W3" s="148"/>
      <c r="X3" s="148"/>
      <c r="Y3" s="148"/>
      <c r="Z3" s="148"/>
      <c r="AA3" s="148"/>
      <c r="AB3" s="148"/>
      <c r="AC3" s="148"/>
      <c r="AD3" s="151" t="str">
        <f>A3</f>
        <v>For the Period from 1st July 1999 to  30th September 2000</v>
      </c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51" t="str">
        <f>A3</f>
        <v>For the Period from 1st July 1999 to  30th September 2000</v>
      </c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314"/>
      <c r="BF3" s="151" t="str">
        <f>A3</f>
        <v>For the Period from 1st July 1999 to  30th September 2000</v>
      </c>
      <c r="BG3" s="148"/>
      <c r="BH3" s="148"/>
      <c r="BI3" s="148"/>
      <c r="BJ3" s="148"/>
      <c r="BK3" s="148"/>
      <c r="BL3" s="148"/>
      <c r="BM3" s="148"/>
      <c r="BN3" s="148"/>
      <c r="BO3" s="151" t="str">
        <f>AD3</f>
        <v>For the Period from 1st July 1999 to  30th September 2000</v>
      </c>
      <c r="BP3" s="148"/>
      <c r="BQ3" s="148"/>
    </row>
    <row r="4" spans="1:69" s="327" customFormat="1" ht="18" customHeight="1">
      <c r="A4" s="323"/>
      <c r="C4" s="323" t="s">
        <v>1088</v>
      </c>
      <c r="D4" s="323"/>
      <c r="E4" s="323"/>
      <c r="F4" s="323"/>
      <c r="G4" s="323"/>
      <c r="H4" s="324"/>
      <c r="I4" s="325"/>
      <c r="J4" s="323"/>
      <c r="K4" s="323"/>
      <c r="L4" s="323"/>
      <c r="M4" s="323" t="s">
        <v>1088</v>
      </c>
      <c r="N4" s="323" t="s">
        <v>1088</v>
      </c>
      <c r="O4" s="323" t="s">
        <v>1088</v>
      </c>
      <c r="P4" s="323" t="s">
        <v>1088</v>
      </c>
      <c r="Q4" s="637" t="s">
        <v>1088</v>
      </c>
      <c r="R4" s="637" t="s">
        <v>1088</v>
      </c>
      <c r="S4" s="637" t="s">
        <v>1088</v>
      </c>
      <c r="T4" s="323" t="s">
        <v>1088</v>
      </c>
      <c r="U4" s="323" t="s">
        <v>1088</v>
      </c>
      <c r="V4" s="323" t="s">
        <v>1088</v>
      </c>
      <c r="W4" s="323" t="s">
        <v>1088</v>
      </c>
      <c r="X4" s="637" t="s">
        <v>1088</v>
      </c>
      <c r="Y4" s="323" t="s">
        <v>1088</v>
      </c>
      <c r="Z4" s="320" t="s">
        <v>537</v>
      </c>
      <c r="AA4" s="320" t="s">
        <v>538</v>
      </c>
      <c r="AB4" s="323"/>
      <c r="AC4" s="323"/>
      <c r="AD4" s="323"/>
      <c r="AE4" s="323" t="s">
        <v>1088</v>
      </c>
      <c r="AF4" s="323" t="s">
        <v>1088</v>
      </c>
      <c r="AG4" s="323" t="s">
        <v>1088</v>
      </c>
      <c r="AH4" s="323" t="s">
        <v>1088</v>
      </c>
      <c r="AI4" s="323" t="s">
        <v>1088</v>
      </c>
      <c r="AJ4" s="323" t="s">
        <v>1088</v>
      </c>
      <c r="AK4" s="323" t="s">
        <v>1088</v>
      </c>
      <c r="AL4" s="323" t="s">
        <v>1088</v>
      </c>
      <c r="AM4" s="323" t="s">
        <v>1088</v>
      </c>
      <c r="AN4" s="323" t="s">
        <v>1088</v>
      </c>
      <c r="AO4" s="323" t="s">
        <v>1088</v>
      </c>
      <c r="AP4" s="323" t="s">
        <v>1088</v>
      </c>
      <c r="AQ4" s="323"/>
      <c r="AR4" s="323"/>
      <c r="AS4" s="323"/>
      <c r="AT4" s="323" t="s">
        <v>1088</v>
      </c>
      <c r="AU4" s="323" t="s">
        <v>1088</v>
      </c>
      <c r="AV4" s="323" t="s">
        <v>1088</v>
      </c>
      <c r="AW4" s="323" t="s">
        <v>1088</v>
      </c>
      <c r="AX4" s="323" t="s">
        <v>1088</v>
      </c>
      <c r="AY4" s="323" t="s">
        <v>1088</v>
      </c>
      <c r="AZ4" s="323" t="s">
        <v>1088</v>
      </c>
      <c r="BA4" s="323" t="s">
        <v>1088</v>
      </c>
      <c r="BB4" s="323" t="s">
        <v>1088</v>
      </c>
      <c r="BC4" s="323"/>
      <c r="BD4" s="323"/>
      <c r="BE4" s="323"/>
      <c r="BF4" s="323"/>
      <c r="BG4" s="637" t="s">
        <v>1088</v>
      </c>
      <c r="BH4" s="323" t="s">
        <v>1088</v>
      </c>
      <c r="BI4" s="558" t="s">
        <v>1088</v>
      </c>
      <c r="BJ4" s="326"/>
      <c r="BK4" s="323"/>
      <c r="BL4" s="323"/>
      <c r="BM4" s="323"/>
      <c r="BN4" s="323"/>
      <c r="BO4" s="323"/>
      <c r="BP4" s="323"/>
      <c r="BQ4" s="323"/>
    </row>
    <row r="5" spans="1:69" s="90" customFormat="1" ht="15.75" customHeight="1">
      <c r="A5" s="92"/>
      <c r="B5" s="370"/>
      <c r="C5" s="624" t="s">
        <v>387</v>
      </c>
      <c r="D5" s="94" t="s">
        <v>1400</v>
      </c>
      <c r="E5" s="95"/>
      <c r="F5" s="96"/>
      <c r="G5" s="96"/>
      <c r="H5" s="96"/>
      <c r="I5" s="97"/>
      <c r="J5" s="98"/>
      <c r="K5" s="98"/>
      <c r="L5" s="92"/>
      <c r="M5" s="624" t="s">
        <v>1401</v>
      </c>
      <c r="N5" s="624" t="s">
        <v>1401</v>
      </c>
      <c r="O5" s="627" t="s">
        <v>1403</v>
      </c>
      <c r="P5" s="627" t="s">
        <v>1403</v>
      </c>
      <c r="Q5" s="629" t="s">
        <v>1404</v>
      </c>
      <c r="R5" s="627" t="s">
        <v>1404</v>
      </c>
      <c r="S5" s="627" t="s">
        <v>1402</v>
      </c>
      <c r="T5" s="627" t="s">
        <v>1411</v>
      </c>
      <c r="U5" s="627" t="s">
        <v>1418</v>
      </c>
      <c r="V5" s="627" t="s">
        <v>1407</v>
      </c>
      <c r="W5" s="627" t="s">
        <v>1406</v>
      </c>
      <c r="X5" s="629" t="s">
        <v>1416</v>
      </c>
      <c r="Y5" s="627" t="s">
        <v>1405</v>
      </c>
      <c r="Z5" s="100" t="s">
        <v>1408</v>
      </c>
      <c r="AA5" s="100" t="s">
        <v>1408</v>
      </c>
      <c r="AB5" s="100"/>
      <c r="AC5" s="98"/>
      <c r="AD5" s="92"/>
      <c r="AE5" s="624" t="s">
        <v>1409</v>
      </c>
      <c r="AF5" s="624" t="s">
        <v>1410</v>
      </c>
      <c r="AG5" s="624" t="s">
        <v>1410</v>
      </c>
      <c r="AH5" s="624" t="s">
        <v>1410</v>
      </c>
      <c r="AI5" s="624" t="s">
        <v>1410</v>
      </c>
      <c r="AJ5" s="624" t="s">
        <v>1410</v>
      </c>
      <c r="AK5" s="624" t="s">
        <v>1410</v>
      </c>
      <c r="AL5" s="624" t="s">
        <v>1410</v>
      </c>
      <c r="AM5" s="624" t="s">
        <v>1401</v>
      </c>
      <c r="AN5" s="627" t="s">
        <v>1412</v>
      </c>
      <c r="AO5" s="627" t="s">
        <v>1413</v>
      </c>
      <c r="AP5" s="627" t="s">
        <v>1414</v>
      </c>
      <c r="AQ5" s="100"/>
      <c r="AR5" s="98"/>
      <c r="AS5" s="92"/>
      <c r="AT5" s="631" t="s">
        <v>1415</v>
      </c>
      <c r="AU5" s="627" t="s">
        <v>1087</v>
      </c>
      <c r="AV5" s="627" t="s">
        <v>1416</v>
      </c>
      <c r="AW5" s="627" t="s">
        <v>1416</v>
      </c>
      <c r="AX5" s="627" t="s">
        <v>1417</v>
      </c>
      <c r="AY5" s="627" t="s">
        <v>1404</v>
      </c>
      <c r="AZ5" s="627" t="s">
        <v>1404</v>
      </c>
      <c r="BA5" s="627" t="s">
        <v>1404</v>
      </c>
      <c r="BB5" s="627" t="s">
        <v>1419</v>
      </c>
      <c r="BC5" s="100"/>
      <c r="BD5" s="98"/>
      <c r="BE5" s="436"/>
      <c r="BF5" s="92"/>
      <c r="BG5" s="629" t="s">
        <v>1172</v>
      </c>
      <c r="BH5" s="627" t="s">
        <v>1420</v>
      </c>
      <c r="BI5" s="627" t="s">
        <v>27</v>
      </c>
      <c r="BJ5" s="102"/>
      <c r="BK5" s="100"/>
      <c r="BL5" s="100"/>
      <c r="BM5" s="103"/>
      <c r="BN5" s="103"/>
      <c r="BO5" s="92"/>
      <c r="BP5" s="93" t="s">
        <v>157</v>
      </c>
      <c r="BQ5" s="93" t="s">
        <v>157</v>
      </c>
    </row>
    <row r="6" spans="1:69" s="90" customFormat="1" ht="16.5" customHeight="1">
      <c r="A6" s="372" t="s">
        <v>96</v>
      </c>
      <c r="B6" s="407"/>
      <c r="C6" s="625" t="s">
        <v>388</v>
      </c>
      <c r="D6" s="106" t="s">
        <v>1425</v>
      </c>
      <c r="E6" s="106" t="s">
        <v>1426</v>
      </c>
      <c r="F6" s="106" t="s">
        <v>1441</v>
      </c>
      <c r="G6" s="106" t="s">
        <v>1428</v>
      </c>
      <c r="H6" s="106" t="s">
        <v>1429</v>
      </c>
      <c r="I6" s="105" t="s">
        <v>1430</v>
      </c>
      <c r="J6" s="98"/>
      <c r="K6" s="98"/>
      <c r="L6" s="104" t="s">
        <v>96</v>
      </c>
      <c r="M6" s="625" t="s">
        <v>1431</v>
      </c>
      <c r="N6" s="625" t="s">
        <v>1432</v>
      </c>
      <c r="O6" s="626" t="s">
        <v>1439</v>
      </c>
      <c r="P6" s="626" t="s">
        <v>1435</v>
      </c>
      <c r="Q6" s="630" t="s">
        <v>23</v>
      </c>
      <c r="R6" s="626" t="s">
        <v>1436</v>
      </c>
      <c r="S6" s="626" t="s">
        <v>1433</v>
      </c>
      <c r="T6" s="626" t="s">
        <v>1449</v>
      </c>
      <c r="U6" s="626" t="s">
        <v>1432</v>
      </c>
      <c r="V6" s="626" t="s">
        <v>1440</v>
      </c>
      <c r="W6" s="626" t="s">
        <v>1438</v>
      </c>
      <c r="X6" s="630" t="s">
        <v>1454</v>
      </c>
      <c r="Y6" s="626" t="s">
        <v>1437</v>
      </c>
      <c r="Z6" s="106" t="s">
        <v>385</v>
      </c>
      <c r="AA6" s="106" t="s">
        <v>384</v>
      </c>
      <c r="AB6" s="106" t="s">
        <v>1441</v>
      </c>
      <c r="AC6" s="107"/>
      <c r="AD6" s="104" t="s">
        <v>96</v>
      </c>
      <c r="AE6" s="625"/>
      <c r="AF6" s="625" t="s">
        <v>1442</v>
      </c>
      <c r="AG6" s="626" t="s">
        <v>1443</v>
      </c>
      <c r="AH6" s="626" t="s">
        <v>1444</v>
      </c>
      <c r="AI6" s="626" t="s">
        <v>1445</v>
      </c>
      <c r="AJ6" s="626" t="s">
        <v>1446</v>
      </c>
      <c r="AK6" s="626" t="s">
        <v>1447</v>
      </c>
      <c r="AL6" s="626" t="s">
        <v>1448</v>
      </c>
      <c r="AM6" s="626" t="s">
        <v>1434</v>
      </c>
      <c r="AN6" s="626" t="s">
        <v>1450</v>
      </c>
      <c r="AO6" s="626" t="s">
        <v>1451</v>
      </c>
      <c r="AP6" s="626" t="s">
        <v>1452</v>
      </c>
      <c r="AQ6" s="106" t="s">
        <v>1441</v>
      </c>
      <c r="AR6" s="107"/>
      <c r="AS6" s="104" t="s">
        <v>96</v>
      </c>
      <c r="AT6" s="625" t="s">
        <v>1453</v>
      </c>
      <c r="AU6" s="626" t="s">
        <v>619</v>
      </c>
      <c r="AV6" s="626" t="s">
        <v>1460</v>
      </c>
      <c r="AW6" s="626" t="s">
        <v>1461</v>
      </c>
      <c r="AX6" s="626" t="s">
        <v>1462</v>
      </c>
      <c r="AY6" s="626" t="s">
        <v>1463</v>
      </c>
      <c r="AZ6" s="626" t="s">
        <v>341</v>
      </c>
      <c r="BA6" s="626" t="s">
        <v>1464</v>
      </c>
      <c r="BB6" s="626" t="s">
        <v>1465</v>
      </c>
      <c r="BC6" s="106" t="s">
        <v>1441</v>
      </c>
      <c r="BD6" s="107"/>
      <c r="BE6" s="436"/>
      <c r="BF6" s="104" t="s">
        <v>96</v>
      </c>
      <c r="BG6" s="630" t="s">
        <v>1466</v>
      </c>
      <c r="BH6" s="626" t="s">
        <v>0</v>
      </c>
      <c r="BI6" s="626" t="s">
        <v>28</v>
      </c>
      <c r="BJ6" s="108"/>
      <c r="BK6" s="106"/>
      <c r="BL6" s="106" t="s">
        <v>1441</v>
      </c>
      <c r="BM6" s="109"/>
      <c r="BN6" s="109"/>
      <c r="BO6" s="104" t="s">
        <v>96</v>
      </c>
      <c r="BP6" s="307" t="s">
        <v>403</v>
      </c>
      <c r="BQ6" s="307" t="s">
        <v>405</v>
      </c>
    </row>
    <row r="7" spans="1:69" ht="16.5" customHeight="1">
      <c r="A7" s="110"/>
      <c r="C7" s="111"/>
      <c r="D7" s="112"/>
      <c r="E7" s="112"/>
      <c r="F7" s="112"/>
      <c r="G7" s="112"/>
      <c r="H7" s="112"/>
      <c r="I7" s="111"/>
      <c r="J7" s="113"/>
      <c r="K7" s="113"/>
      <c r="L7" s="110"/>
      <c r="M7" s="111"/>
      <c r="N7" s="112"/>
      <c r="O7" s="112"/>
      <c r="P7" s="112"/>
      <c r="Q7" s="111"/>
      <c r="R7" s="112"/>
      <c r="S7" s="112"/>
      <c r="T7" s="112"/>
      <c r="U7" s="112"/>
      <c r="V7" s="112"/>
      <c r="W7" s="112"/>
      <c r="X7" s="111"/>
      <c r="Y7" s="112"/>
      <c r="Z7" s="112"/>
      <c r="AA7" s="112"/>
      <c r="AB7" s="112"/>
      <c r="AC7" s="114"/>
      <c r="AD7" s="110"/>
      <c r="AE7" s="111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4"/>
      <c r="AS7" s="110"/>
      <c r="AT7" s="111"/>
      <c r="AU7" s="112"/>
      <c r="AV7" s="112"/>
      <c r="AW7" s="112"/>
      <c r="AX7" s="112"/>
      <c r="AY7" s="112"/>
      <c r="AZ7" s="112"/>
      <c r="BA7" s="112"/>
      <c r="BB7" s="112"/>
      <c r="BC7" s="112"/>
      <c r="BD7" s="114"/>
      <c r="BE7" s="200"/>
      <c r="BF7" s="110"/>
      <c r="BG7" s="111"/>
      <c r="BH7" s="112"/>
      <c r="BI7" s="111"/>
      <c r="BJ7" s="112"/>
      <c r="BK7" s="112"/>
      <c r="BL7" s="112"/>
      <c r="BM7" s="115"/>
      <c r="BN7" s="115"/>
      <c r="BO7" s="110"/>
      <c r="BP7" s="111"/>
      <c r="BQ7" s="111"/>
    </row>
    <row r="8" spans="1:69" ht="16.5" customHeight="1" thickBot="1">
      <c r="A8" s="116" t="s">
        <v>97</v>
      </c>
      <c r="C8" s="117">
        <v>0</v>
      </c>
      <c r="D8" s="118">
        <f>AB8</f>
        <v>6318609.41</v>
      </c>
      <c r="E8" s="118">
        <f>BL8</f>
        <v>2396055</v>
      </c>
      <c r="F8" s="117">
        <f>SUM(C8:E8)</f>
        <v>8714664.41</v>
      </c>
      <c r="G8" s="118"/>
      <c r="H8" s="118">
        <f>'Con P&amp;L Journals'!F11</f>
        <v>0</v>
      </c>
      <c r="I8" s="117">
        <f>F8-G8+H8</f>
        <v>8714664.41</v>
      </c>
      <c r="J8" s="119"/>
      <c r="K8" s="113"/>
      <c r="L8" s="116" t="s">
        <v>97</v>
      </c>
      <c r="M8" s="117">
        <v>1363509</v>
      </c>
      <c r="N8" s="118">
        <v>1964628</v>
      </c>
      <c r="O8" s="118">
        <v>291127</v>
      </c>
      <c r="P8" s="118">
        <v>0</v>
      </c>
      <c r="Q8" s="566">
        <v>598500</v>
      </c>
      <c r="R8" s="118">
        <v>0</v>
      </c>
      <c r="S8" s="118">
        <v>0</v>
      </c>
      <c r="T8" s="118">
        <v>0</v>
      </c>
      <c r="U8" s="118">
        <v>0</v>
      </c>
      <c r="V8" s="118">
        <v>1303733.41</v>
      </c>
      <c r="W8" s="118">
        <v>797112</v>
      </c>
      <c r="X8" s="117">
        <v>0</v>
      </c>
      <c r="Y8" s="118">
        <v>0</v>
      </c>
      <c r="Z8" s="118">
        <f>AQ8</f>
        <v>0</v>
      </c>
      <c r="AA8" s="118">
        <f>BC8</f>
        <v>0</v>
      </c>
      <c r="AB8" s="118">
        <f>SUM(M8:AA8)</f>
        <v>6318609.41</v>
      </c>
      <c r="AC8" s="119"/>
      <c r="AD8" s="116" t="s">
        <v>97</v>
      </c>
      <c r="AE8" s="117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0</v>
      </c>
      <c r="AQ8" s="118">
        <f>SUM(AE8:AP8)</f>
        <v>0</v>
      </c>
      <c r="AR8" s="119"/>
      <c r="AS8" s="116" t="s">
        <v>97</v>
      </c>
      <c r="AT8" s="117">
        <v>0</v>
      </c>
      <c r="AU8" s="118">
        <v>0</v>
      </c>
      <c r="AV8" s="118">
        <v>0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f>SUM(AT8:BB8)</f>
        <v>0</v>
      </c>
      <c r="BD8" s="119"/>
      <c r="BE8" s="200"/>
      <c r="BF8" s="116" t="s">
        <v>97</v>
      </c>
      <c r="BG8" s="117">
        <v>0</v>
      </c>
      <c r="BH8" s="118">
        <v>2396055</v>
      </c>
      <c r="BI8" s="117">
        <v>0</v>
      </c>
      <c r="BJ8" s="118"/>
      <c r="BK8" s="118">
        <v>0</v>
      </c>
      <c r="BL8" s="118">
        <f>SUM(BG8:BK8)</f>
        <v>2396055</v>
      </c>
      <c r="BM8" s="121"/>
      <c r="BN8" s="121"/>
      <c r="BO8" s="116" t="s">
        <v>97</v>
      </c>
      <c r="BP8" s="117">
        <v>6629000</v>
      </c>
      <c r="BQ8" s="117">
        <f>BP8*$BR$2</f>
        <v>13874739.22366</v>
      </c>
    </row>
    <row r="9" spans="1:69" ht="16.5" customHeight="1" thickTop="1">
      <c r="A9" s="122"/>
      <c r="C9" s="123"/>
      <c r="D9" s="124"/>
      <c r="E9" s="124"/>
      <c r="F9" s="124"/>
      <c r="G9" s="124"/>
      <c r="H9" s="124"/>
      <c r="I9" s="123"/>
      <c r="J9" s="113"/>
      <c r="K9" s="113"/>
      <c r="L9" s="122"/>
      <c r="M9" s="123"/>
      <c r="N9" s="124"/>
      <c r="O9" s="124"/>
      <c r="P9" s="124"/>
      <c r="Q9" s="123"/>
      <c r="R9" s="124"/>
      <c r="S9" s="124"/>
      <c r="T9" s="124"/>
      <c r="U9" s="124"/>
      <c r="V9" s="124"/>
      <c r="W9" s="124"/>
      <c r="X9" s="123"/>
      <c r="Y9" s="124"/>
      <c r="Z9" s="124"/>
      <c r="AA9" s="124"/>
      <c r="AB9" s="124"/>
      <c r="AC9" s="113"/>
      <c r="AD9" s="122"/>
      <c r="AE9" s="123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13"/>
      <c r="AS9" s="122"/>
      <c r="AT9" s="123"/>
      <c r="AU9" s="124"/>
      <c r="AV9" s="124"/>
      <c r="AW9" s="124"/>
      <c r="AX9" s="124"/>
      <c r="AY9" s="124"/>
      <c r="AZ9" s="124"/>
      <c r="BA9" s="124"/>
      <c r="BB9" s="124"/>
      <c r="BC9" s="124"/>
      <c r="BD9" s="113"/>
      <c r="BE9" s="200"/>
      <c r="BF9" s="122"/>
      <c r="BG9" s="123"/>
      <c r="BH9" s="124"/>
      <c r="BI9" s="123"/>
      <c r="BJ9" s="124"/>
      <c r="BK9" s="124"/>
      <c r="BL9" s="124"/>
      <c r="BM9" s="125"/>
      <c r="BN9" s="125"/>
      <c r="BO9" s="122"/>
      <c r="BP9" s="123"/>
      <c r="BQ9" s="123"/>
    </row>
    <row r="10" spans="1:69" ht="16.5" customHeight="1">
      <c r="A10" s="116" t="s">
        <v>382</v>
      </c>
      <c r="C10" s="126">
        <v>0</v>
      </c>
      <c r="D10" s="127">
        <f>AB10</f>
        <v>495208.41</v>
      </c>
      <c r="E10" s="127">
        <f>BL10</f>
        <v>14280</v>
      </c>
      <c r="F10" s="127">
        <f>SUM(C10:E10)</f>
        <v>509488.41</v>
      </c>
      <c r="G10" s="127"/>
      <c r="H10" s="127"/>
      <c r="I10" s="126">
        <f>F10-G10+H10</f>
        <v>509488.41</v>
      </c>
      <c r="J10" s="113"/>
      <c r="K10" s="113"/>
      <c r="L10" s="116" t="s">
        <v>382</v>
      </c>
      <c r="M10" s="126">
        <v>0</v>
      </c>
      <c r="N10" s="127">
        <v>959</v>
      </c>
      <c r="O10" s="127">
        <v>200604</v>
      </c>
      <c r="P10" s="127">
        <v>0</v>
      </c>
      <c r="Q10" s="126">
        <v>24119</v>
      </c>
      <c r="R10" s="127">
        <v>0</v>
      </c>
      <c r="S10" s="127">
        <v>240334</v>
      </c>
      <c r="T10" s="127">
        <v>0</v>
      </c>
      <c r="U10" s="127">
        <v>0</v>
      </c>
      <c r="V10" s="127">
        <v>91.41</v>
      </c>
      <c r="W10" s="127">
        <v>14101</v>
      </c>
      <c r="X10" s="126">
        <v>0</v>
      </c>
      <c r="Y10" s="127">
        <v>0</v>
      </c>
      <c r="Z10" s="127">
        <f>AQ10</f>
        <v>15000</v>
      </c>
      <c r="AA10" s="127">
        <f>BC10</f>
        <v>0</v>
      </c>
      <c r="AB10" s="127">
        <f>SUM(M10:AA10)</f>
        <v>495208.41</v>
      </c>
      <c r="AC10" s="113"/>
      <c r="AD10" s="116" t="s">
        <v>382</v>
      </c>
      <c r="AE10" s="126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15000</v>
      </c>
      <c r="AO10" s="127">
        <v>0</v>
      </c>
      <c r="AP10" s="127">
        <v>0</v>
      </c>
      <c r="AQ10" s="126">
        <f>SUM(AE10:AP10)</f>
        <v>15000</v>
      </c>
      <c r="AR10" s="113"/>
      <c r="AS10" s="116" t="s">
        <v>382</v>
      </c>
      <c r="AT10" s="126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6">
        <f>SUM(AT10:BB10)</f>
        <v>0</v>
      </c>
      <c r="BD10" s="113"/>
      <c r="BE10" s="200"/>
      <c r="BF10" s="116" t="s">
        <v>382</v>
      </c>
      <c r="BG10" s="126">
        <v>0</v>
      </c>
      <c r="BH10" s="127">
        <v>14280</v>
      </c>
      <c r="BI10" s="126">
        <v>0</v>
      </c>
      <c r="BJ10" s="127"/>
      <c r="BK10" s="127">
        <v>0</v>
      </c>
      <c r="BL10" s="127">
        <f>SUM(BG10:BK10)</f>
        <v>14280</v>
      </c>
      <c r="BM10" s="125"/>
      <c r="BN10" s="125"/>
      <c r="BO10" s="116" t="s">
        <v>382</v>
      </c>
      <c r="BP10" s="126">
        <v>39000</v>
      </c>
      <c r="BQ10" s="126">
        <f>BP10*$BR$2</f>
        <v>81628.42506</v>
      </c>
    </row>
    <row r="11" spans="1:69" ht="16.5" customHeight="1">
      <c r="A11" s="122"/>
      <c r="C11" s="123"/>
      <c r="D11" s="124"/>
      <c r="E11" s="124"/>
      <c r="F11" s="124"/>
      <c r="G11" s="124"/>
      <c r="H11" s="124"/>
      <c r="I11" s="123"/>
      <c r="J11" s="113"/>
      <c r="K11" s="113"/>
      <c r="L11" s="122"/>
      <c r="M11" s="123"/>
      <c r="N11" s="124"/>
      <c r="O11" s="124"/>
      <c r="P11" s="124"/>
      <c r="Q11" s="123"/>
      <c r="R11" s="124"/>
      <c r="S11" s="124"/>
      <c r="T11" s="124"/>
      <c r="U11" s="124"/>
      <c r="V11" s="124"/>
      <c r="W11" s="124"/>
      <c r="X11" s="123"/>
      <c r="Y11" s="124"/>
      <c r="Z11" s="124"/>
      <c r="AA11" s="124"/>
      <c r="AB11" s="124"/>
      <c r="AC11" s="113"/>
      <c r="AD11" s="122"/>
      <c r="AE11" s="123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13"/>
      <c r="AS11" s="122"/>
      <c r="AT11" s="123"/>
      <c r="AU11" s="124"/>
      <c r="AV11" s="124"/>
      <c r="AW11" s="124"/>
      <c r="AX11" s="124"/>
      <c r="AY11" s="124"/>
      <c r="AZ11" s="124"/>
      <c r="BA11" s="124"/>
      <c r="BB11" s="124"/>
      <c r="BC11" s="124"/>
      <c r="BD11" s="113"/>
      <c r="BE11" s="200"/>
      <c r="BF11" s="123"/>
      <c r="BG11" s="123"/>
      <c r="BH11" s="124"/>
      <c r="BI11" s="123"/>
      <c r="BJ11" s="124"/>
      <c r="BK11" s="124"/>
      <c r="BL11" s="124"/>
      <c r="BM11" s="125"/>
      <c r="BN11" s="125"/>
      <c r="BO11" s="122"/>
      <c r="BP11" s="123"/>
      <c r="BQ11" s="123"/>
    </row>
    <row r="12" spans="1:69" ht="16.5" customHeight="1">
      <c r="A12" s="122"/>
      <c r="C12" s="128"/>
      <c r="D12" s="128"/>
      <c r="E12" s="128"/>
      <c r="F12" s="128"/>
      <c r="G12" s="128"/>
      <c r="H12" s="128"/>
      <c r="I12" s="128"/>
      <c r="J12" s="113"/>
      <c r="K12" s="113"/>
      <c r="L12" s="122"/>
      <c r="M12" s="128"/>
      <c r="N12" s="129"/>
      <c r="O12" s="124"/>
      <c r="P12" s="129"/>
      <c r="Q12" s="128"/>
      <c r="R12" s="129"/>
      <c r="S12" s="129"/>
      <c r="T12" s="129"/>
      <c r="U12" s="129"/>
      <c r="V12" s="129"/>
      <c r="W12" s="129"/>
      <c r="X12" s="128"/>
      <c r="Y12" s="129"/>
      <c r="Z12" s="129"/>
      <c r="AA12" s="129"/>
      <c r="AB12" s="129"/>
      <c r="AC12" s="113"/>
      <c r="AD12" s="122"/>
      <c r="AE12" s="123"/>
      <c r="AF12" s="123"/>
      <c r="AG12" s="123"/>
      <c r="AH12" s="123"/>
      <c r="AI12" s="123"/>
      <c r="AJ12" s="123"/>
      <c r="AK12" s="123"/>
      <c r="AL12" s="123"/>
      <c r="AM12" s="124"/>
      <c r="AN12" s="123"/>
      <c r="AO12" s="123"/>
      <c r="AP12" s="123"/>
      <c r="AQ12" s="129"/>
      <c r="AR12" s="113"/>
      <c r="AS12" s="122"/>
      <c r="AT12" s="123"/>
      <c r="AU12" s="123"/>
      <c r="AV12" s="123"/>
      <c r="AW12" s="123"/>
      <c r="AX12" s="123"/>
      <c r="AY12" s="123"/>
      <c r="AZ12" s="123"/>
      <c r="BA12" s="123"/>
      <c r="BB12" s="123"/>
      <c r="BC12" s="129"/>
      <c r="BD12" s="113"/>
      <c r="BE12" s="200"/>
      <c r="BF12" s="123"/>
      <c r="BG12" s="128"/>
      <c r="BH12" s="129"/>
      <c r="BI12" s="128"/>
      <c r="BJ12" s="129"/>
      <c r="BK12" s="129"/>
      <c r="BL12" s="129"/>
      <c r="BM12" s="125"/>
      <c r="BN12" s="125"/>
      <c r="BO12" s="122"/>
      <c r="BP12" s="123"/>
      <c r="BQ12" s="123"/>
    </row>
    <row r="13" spans="1:69" s="202" customFormat="1" ht="16.5" customHeight="1">
      <c r="A13" s="344" t="s">
        <v>98</v>
      </c>
      <c r="C13" s="345">
        <v>-7664619</v>
      </c>
      <c r="D13" s="199">
        <f>AB13</f>
        <v>-4872723.100000001</v>
      </c>
      <c r="E13" s="199">
        <f>BL13</f>
        <v>-1733202.7400000002</v>
      </c>
      <c r="F13" s="199">
        <f>SUM(C13:E13)</f>
        <v>-14270544.840000002</v>
      </c>
      <c r="G13" s="199">
        <f>'Con P&amp;L Journals'!E25</f>
        <v>12523001</v>
      </c>
      <c r="H13" s="199">
        <f>'Con P&amp;L Journals'!F25</f>
        <v>0</v>
      </c>
      <c r="I13" s="345">
        <f>F13-G13+H13</f>
        <v>-26793545.840000004</v>
      </c>
      <c r="J13" s="200"/>
      <c r="K13" s="200"/>
      <c r="L13" s="344" t="s">
        <v>98</v>
      </c>
      <c r="M13" s="345">
        <v>505313.4</v>
      </c>
      <c r="N13" s="199">
        <v>836005</v>
      </c>
      <c r="O13" s="199">
        <v>-1456252</v>
      </c>
      <c r="P13" s="199">
        <v>-50542</v>
      </c>
      <c r="Q13" s="345">
        <v>23837</v>
      </c>
      <c r="R13" s="199">
        <v>-214255</v>
      </c>
      <c r="S13" s="199">
        <v>-3139907</v>
      </c>
      <c r="T13" s="199">
        <v>-7466.5</v>
      </c>
      <c r="U13" s="199">
        <v>0</v>
      </c>
      <c r="V13" s="199">
        <v>-164526.05</v>
      </c>
      <c r="W13" s="199">
        <v>-1173453</v>
      </c>
      <c r="X13" s="345">
        <v>0</v>
      </c>
      <c r="Y13" s="199">
        <v>0</v>
      </c>
      <c r="Z13" s="199">
        <f>AQ13</f>
        <v>-30676.95</v>
      </c>
      <c r="AA13" s="199">
        <f>BC13</f>
        <v>-800</v>
      </c>
      <c r="AB13" s="199">
        <f>SUM(M13:AA13)</f>
        <v>-4872723.100000001</v>
      </c>
      <c r="AC13" s="347"/>
      <c r="AD13" s="344" t="s">
        <v>98</v>
      </c>
      <c r="AE13" s="198">
        <v>0</v>
      </c>
      <c r="AF13" s="198">
        <v>0</v>
      </c>
      <c r="AG13" s="198">
        <v>0</v>
      </c>
      <c r="AH13" s="198">
        <v>-600</v>
      </c>
      <c r="AI13" s="198">
        <v>-400</v>
      </c>
      <c r="AJ13" s="198">
        <v>-400</v>
      </c>
      <c r="AK13" s="198">
        <v>0</v>
      </c>
      <c r="AL13" s="198">
        <v>0</v>
      </c>
      <c r="AM13" s="199">
        <v>-1449.7</v>
      </c>
      <c r="AN13" s="198">
        <v>-27827.25</v>
      </c>
      <c r="AO13" s="129">
        <v>0</v>
      </c>
      <c r="AP13" s="129">
        <v>0</v>
      </c>
      <c r="AQ13" s="199">
        <f>SUM(AE13:AP13)</f>
        <v>-30676.95</v>
      </c>
      <c r="AR13" s="347"/>
      <c r="AS13" s="344" t="s">
        <v>98</v>
      </c>
      <c r="AT13" s="346">
        <v>0</v>
      </c>
      <c r="AU13" s="346">
        <v>0</v>
      </c>
      <c r="AV13" s="346">
        <v>-400</v>
      </c>
      <c r="AW13" s="346">
        <v>-400</v>
      </c>
      <c r="AX13" s="346">
        <v>0</v>
      </c>
      <c r="AY13" s="346">
        <v>0</v>
      </c>
      <c r="AZ13" s="346">
        <v>0</v>
      </c>
      <c r="BA13" s="346">
        <v>0</v>
      </c>
      <c r="BB13" s="346">
        <v>0</v>
      </c>
      <c r="BC13" s="346">
        <f>SUM(AT13:BB13)</f>
        <v>-800</v>
      </c>
      <c r="BD13" s="347"/>
      <c r="BE13" s="200"/>
      <c r="BF13" s="348" t="s">
        <v>98</v>
      </c>
      <c r="BG13" s="345">
        <v>-84895.65</v>
      </c>
      <c r="BH13" s="199">
        <v>-240329</v>
      </c>
      <c r="BI13" s="345">
        <v>-1407978.09</v>
      </c>
      <c r="BJ13" s="199">
        <v>0</v>
      </c>
      <c r="BK13" s="199">
        <v>0</v>
      </c>
      <c r="BL13" s="199">
        <f>SUM(BG13:BK13)</f>
        <v>-1733202.7400000002</v>
      </c>
      <c r="BM13" s="349"/>
      <c r="BN13" s="349"/>
      <c r="BO13" s="344" t="s">
        <v>98</v>
      </c>
      <c r="BP13" s="345">
        <v>-1988000</v>
      </c>
      <c r="BQ13" s="345">
        <f>BP13*$BR$2</f>
        <v>-4160956.64152</v>
      </c>
    </row>
    <row r="14" spans="1:69" ht="16.5" customHeight="1">
      <c r="A14" s="110" t="s">
        <v>440</v>
      </c>
      <c r="C14" s="128"/>
      <c r="D14" s="128"/>
      <c r="E14" s="128"/>
      <c r="F14" s="128"/>
      <c r="G14" s="129"/>
      <c r="H14" s="129"/>
      <c r="I14" s="128"/>
      <c r="J14" s="119"/>
      <c r="K14" s="119"/>
      <c r="L14" s="110" t="s">
        <v>440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19"/>
      <c r="AD14" s="110" t="s">
        <v>440</v>
      </c>
      <c r="AE14" s="128"/>
      <c r="AF14" s="129"/>
      <c r="AG14" s="129"/>
      <c r="AH14" s="129"/>
      <c r="AI14" s="129"/>
      <c r="AJ14" s="129"/>
      <c r="AK14" s="129"/>
      <c r="AL14" s="129"/>
      <c r="AM14" s="128"/>
      <c r="AN14" s="129"/>
      <c r="AO14" s="129"/>
      <c r="AP14" s="129"/>
      <c r="AQ14" s="129"/>
      <c r="AR14" s="119"/>
      <c r="AS14" s="110" t="s">
        <v>440</v>
      </c>
      <c r="AT14" s="128"/>
      <c r="AU14" s="129"/>
      <c r="AV14" s="129"/>
      <c r="AW14" s="129"/>
      <c r="AX14" s="129"/>
      <c r="AY14" s="129"/>
      <c r="AZ14" s="129"/>
      <c r="BA14" s="129"/>
      <c r="BB14" s="129"/>
      <c r="BC14" s="129"/>
      <c r="BD14" s="119"/>
      <c r="BE14" s="347"/>
      <c r="BF14" s="110" t="s">
        <v>440</v>
      </c>
      <c r="BG14" s="128"/>
      <c r="BH14" s="129"/>
      <c r="BI14" s="128"/>
      <c r="BJ14" s="129"/>
      <c r="BK14" s="129"/>
      <c r="BL14" s="129"/>
      <c r="BM14" s="121"/>
      <c r="BN14" s="121"/>
      <c r="BO14" s="110" t="s">
        <v>440</v>
      </c>
      <c r="BP14" s="128"/>
      <c r="BQ14" s="128"/>
    </row>
    <row r="15" spans="1:69" ht="16.5" customHeight="1">
      <c r="A15" s="110" t="s">
        <v>441</v>
      </c>
      <c r="C15" s="128">
        <v>0</v>
      </c>
      <c r="D15" s="129">
        <f>AB15</f>
        <v>0</v>
      </c>
      <c r="E15" s="129">
        <f>BL15</f>
        <v>0</v>
      </c>
      <c r="F15" s="129">
        <f>SUM(C15:E15)</f>
        <v>0</v>
      </c>
      <c r="G15" s="124">
        <f>'Con P&amp;L Journals'!E31</f>
        <v>0</v>
      </c>
      <c r="H15" s="124">
        <f>'Con P&amp;L Journals'!F31</f>
        <v>0</v>
      </c>
      <c r="I15" s="128">
        <f>F15-G15+H15</f>
        <v>0</v>
      </c>
      <c r="J15" s="113"/>
      <c r="K15" s="113"/>
      <c r="L15" s="110" t="s">
        <v>441</v>
      </c>
      <c r="M15" s="128">
        <v>0</v>
      </c>
      <c r="N15" s="129">
        <v>0</v>
      </c>
      <c r="O15" s="129">
        <v>0</v>
      </c>
      <c r="P15" s="129">
        <v>0</v>
      </c>
      <c r="Q15" s="128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8">
        <v>0</v>
      </c>
      <c r="Y15" s="129">
        <v>0</v>
      </c>
      <c r="Z15" s="129">
        <v>0</v>
      </c>
      <c r="AA15" s="129">
        <v>0</v>
      </c>
      <c r="AB15" s="129">
        <v>0</v>
      </c>
      <c r="AC15" s="119"/>
      <c r="AD15" s="110" t="s">
        <v>441</v>
      </c>
      <c r="AE15" s="128">
        <v>0</v>
      </c>
      <c r="AF15" s="129">
        <v>0</v>
      </c>
      <c r="AG15" s="129">
        <v>0</v>
      </c>
      <c r="AH15" s="129">
        <v>0</v>
      </c>
      <c r="AI15" s="124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f>SUM(AE15:AP15)</f>
        <v>0</v>
      </c>
      <c r="AR15" s="119"/>
      <c r="AS15" s="110" t="s">
        <v>441</v>
      </c>
      <c r="AT15" s="128">
        <v>0</v>
      </c>
      <c r="AU15" s="129"/>
      <c r="AV15" s="129">
        <v>0</v>
      </c>
      <c r="AW15" s="129">
        <v>0</v>
      </c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29">
        <f>SUM(AT15:BB15)</f>
        <v>0</v>
      </c>
      <c r="BD15" s="119"/>
      <c r="BE15" s="200"/>
      <c r="BF15" s="110" t="s">
        <v>441</v>
      </c>
      <c r="BG15" s="128"/>
      <c r="BH15" s="129">
        <v>0</v>
      </c>
      <c r="BI15" s="128"/>
      <c r="BJ15" s="129">
        <f>BQ15</f>
        <v>0</v>
      </c>
      <c r="BK15" s="129">
        <v>0</v>
      </c>
      <c r="BL15" s="129">
        <f>SUM(BG15:BK15)</f>
        <v>0</v>
      </c>
      <c r="BM15" s="121"/>
      <c r="BN15" s="121"/>
      <c r="BO15" s="110" t="s">
        <v>441</v>
      </c>
      <c r="BP15" s="128">
        <v>0</v>
      </c>
      <c r="BQ15" s="128">
        <f>BP15*$BR$2</f>
        <v>0</v>
      </c>
    </row>
    <row r="16" spans="1:69" ht="16.5" customHeight="1">
      <c r="A16" s="122"/>
      <c r="C16" s="123"/>
      <c r="D16" s="129"/>
      <c r="E16" s="129"/>
      <c r="F16" s="129"/>
      <c r="G16" s="124"/>
      <c r="H16" s="124"/>
      <c r="I16" s="123"/>
      <c r="J16" s="113"/>
      <c r="K16" s="113"/>
      <c r="L16" s="122"/>
      <c r="M16" s="123"/>
      <c r="N16" s="129"/>
      <c r="O16" s="124"/>
      <c r="P16" s="124"/>
      <c r="Q16" s="123"/>
      <c r="R16" s="124"/>
      <c r="S16" s="124"/>
      <c r="T16" s="124"/>
      <c r="U16" s="124"/>
      <c r="V16" s="124"/>
      <c r="W16" s="124"/>
      <c r="X16" s="123"/>
      <c r="Y16" s="124"/>
      <c r="Z16" s="124"/>
      <c r="AA16" s="124"/>
      <c r="AB16" s="124"/>
      <c r="AC16" s="113"/>
      <c r="AD16" s="122"/>
      <c r="AE16" s="123"/>
      <c r="AF16" s="129"/>
      <c r="AG16" s="129"/>
      <c r="AH16" s="129"/>
      <c r="AI16" s="124"/>
      <c r="AJ16" s="124"/>
      <c r="AK16" s="124"/>
      <c r="AL16" s="124"/>
      <c r="AM16" s="129"/>
      <c r="AN16" s="124"/>
      <c r="AO16" s="124"/>
      <c r="AP16" s="124"/>
      <c r="AQ16" s="124"/>
      <c r="AR16" s="113"/>
      <c r="AS16" s="122"/>
      <c r="AT16" s="123"/>
      <c r="AU16" s="124"/>
      <c r="AV16" s="124"/>
      <c r="AW16" s="124"/>
      <c r="AX16" s="124"/>
      <c r="AY16" s="124"/>
      <c r="AZ16" s="124"/>
      <c r="BA16" s="124"/>
      <c r="BB16" s="124"/>
      <c r="BC16" s="124"/>
      <c r="BD16" s="113"/>
      <c r="BE16" s="200"/>
      <c r="BF16" s="122"/>
      <c r="BG16" s="123"/>
      <c r="BH16" s="124"/>
      <c r="BI16" s="123"/>
      <c r="BJ16" s="129"/>
      <c r="BK16" s="124"/>
      <c r="BL16" s="129"/>
      <c r="BM16" s="125"/>
      <c r="BN16" s="125"/>
      <c r="BO16" s="122"/>
      <c r="BP16" s="123"/>
      <c r="BQ16" s="123"/>
    </row>
    <row r="17" spans="1:69" ht="16.5" customHeight="1">
      <c r="A17" s="110" t="s">
        <v>442</v>
      </c>
      <c r="C17" s="126">
        <v>0</v>
      </c>
      <c r="D17" s="130">
        <f>AB17</f>
        <v>0</v>
      </c>
      <c r="E17" s="130">
        <f>BL17</f>
        <v>0</v>
      </c>
      <c r="F17" s="130">
        <f>SUM(C17:E17)</f>
        <v>0</v>
      </c>
      <c r="G17" s="130">
        <f>'Con P&amp;L Journals'!E39</f>
        <v>0</v>
      </c>
      <c r="H17" s="130">
        <f>'Con P&amp;L Journals'!F39</f>
        <v>0</v>
      </c>
      <c r="I17" s="131">
        <f>F17-G17+H17</f>
        <v>0</v>
      </c>
      <c r="J17" s="113"/>
      <c r="K17" s="113"/>
      <c r="L17" s="110" t="s">
        <v>442</v>
      </c>
      <c r="M17" s="126"/>
      <c r="N17" s="130"/>
      <c r="O17" s="130"/>
      <c r="P17" s="130"/>
      <c r="Q17" s="126"/>
      <c r="R17" s="130"/>
      <c r="S17" s="130"/>
      <c r="T17" s="130"/>
      <c r="U17" s="130"/>
      <c r="V17" s="130"/>
      <c r="W17" s="130"/>
      <c r="X17" s="126">
        <v>0</v>
      </c>
      <c r="Y17" s="130"/>
      <c r="Z17" s="130"/>
      <c r="AA17" s="130"/>
      <c r="AB17" s="130">
        <f>SUM(M17:AA17)</f>
        <v>0</v>
      </c>
      <c r="AC17" s="119"/>
      <c r="AD17" s="110" t="s">
        <v>442</v>
      </c>
      <c r="AE17" s="126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>
        <f>SUM(AE17:AP17)</f>
        <v>0</v>
      </c>
      <c r="AR17" s="119"/>
      <c r="AS17" s="110" t="s">
        <v>442</v>
      </c>
      <c r="AT17" s="126"/>
      <c r="AU17" s="127"/>
      <c r="AV17" s="130"/>
      <c r="AW17" s="130"/>
      <c r="AX17" s="130"/>
      <c r="AY17" s="130"/>
      <c r="AZ17" s="130"/>
      <c r="BA17" s="130"/>
      <c r="BB17" s="130"/>
      <c r="BC17" s="130">
        <f>SUM(AT17:BB17)</f>
        <v>0</v>
      </c>
      <c r="BD17" s="119"/>
      <c r="BE17" s="200"/>
      <c r="BF17" s="110" t="s">
        <v>442</v>
      </c>
      <c r="BG17" s="126"/>
      <c r="BH17" s="130"/>
      <c r="BI17" s="126"/>
      <c r="BJ17" s="130"/>
      <c r="BK17" s="130"/>
      <c r="BL17" s="130">
        <f>SUM(BG17:BK17)</f>
        <v>0</v>
      </c>
      <c r="BM17" s="121"/>
      <c r="BN17" s="121"/>
      <c r="BO17" s="110" t="s">
        <v>442</v>
      </c>
      <c r="BP17" s="126">
        <v>0</v>
      </c>
      <c r="BQ17" s="126">
        <f>BP17*$BR$2</f>
        <v>0</v>
      </c>
    </row>
    <row r="18" spans="1:69" ht="16.5" customHeight="1">
      <c r="A18" s="132" t="s">
        <v>99</v>
      </c>
      <c r="C18" s="128">
        <f>SUM(C13:C17)</f>
        <v>-7664619</v>
      </c>
      <c r="D18" s="129">
        <f aca="true" t="shared" si="0" ref="D18:I18">SUM(D13:D17)</f>
        <v>-4872723.100000001</v>
      </c>
      <c r="E18" s="129">
        <f t="shared" si="0"/>
        <v>-1733202.7400000002</v>
      </c>
      <c r="F18" s="129">
        <f t="shared" si="0"/>
        <v>-14270544.840000002</v>
      </c>
      <c r="G18" s="129">
        <f t="shared" si="0"/>
        <v>12523001</v>
      </c>
      <c r="H18" s="129">
        <f t="shared" si="0"/>
        <v>0</v>
      </c>
      <c r="I18" s="128">
        <f t="shared" si="0"/>
        <v>-26793545.840000004</v>
      </c>
      <c r="J18" s="113"/>
      <c r="K18" s="113"/>
      <c r="L18" s="132" t="s">
        <v>99</v>
      </c>
      <c r="M18" s="128">
        <f>SUM(M13:M17)</f>
        <v>505313.4</v>
      </c>
      <c r="N18" s="129">
        <f aca="true" t="shared" si="1" ref="N18:AB18">SUM(N13:N17)</f>
        <v>836005</v>
      </c>
      <c r="O18" s="129">
        <f t="shared" si="1"/>
        <v>-1456252</v>
      </c>
      <c r="P18" s="129">
        <f>SUM(P13:P17)</f>
        <v>-50542</v>
      </c>
      <c r="Q18" s="128">
        <f t="shared" si="1"/>
        <v>23837</v>
      </c>
      <c r="R18" s="129">
        <f t="shared" si="1"/>
        <v>-214255</v>
      </c>
      <c r="S18" s="129">
        <f t="shared" si="1"/>
        <v>-3139907</v>
      </c>
      <c r="T18" s="129">
        <f t="shared" si="1"/>
        <v>-7466.5</v>
      </c>
      <c r="U18" s="129">
        <f>SUM(U13:U17)</f>
        <v>0</v>
      </c>
      <c r="V18" s="129">
        <f t="shared" si="1"/>
        <v>-164526.05</v>
      </c>
      <c r="W18" s="129">
        <f t="shared" si="1"/>
        <v>-1173453</v>
      </c>
      <c r="X18" s="128">
        <f>SUM(X13:X17)</f>
        <v>0</v>
      </c>
      <c r="Y18" s="129">
        <f t="shared" si="1"/>
        <v>0</v>
      </c>
      <c r="Z18" s="129">
        <f t="shared" si="1"/>
        <v>-30676.95</v>
      </c>
      <c r="AA18" s="129">
        <f t="shared" si="1"/>
        <v>-800</v>
      </c>
      <c r="AB18" s="129">
        <f t="shared" si="1"/>
        <v>-4872723.100000001</v>
      </c>
      <c r="AC18" s="119"/>
      <c r="AD18" s="132" t="s">
        <v>99</v>
      </c>
      <c r="AE18" s="128">
        <f aca="true" t="shared" si="2" ref="AE18:AQ18">SUM(AE13:AE17)</f>
        <v>0</v>
      </c>
      <c r="AF18" s="129">
        <f t="shared" si="2"/>
        <v>0</v>
      </c>
      <c r="AG18" s="129">
        <f t="shared" si="2"/>
        <v>0</v>
      </c>
      <c r="AH18" s="129">
        <f t="shared" si="2"/>
        <v>-600</v>
      </c>
      <c r="AI18" s="129">
        <f t="shared" si="2"/>
        <v>-400</v>
      </c>
      <c r="AJ18" s="129">
        <f t="shared" si="2"/>
        <v>-400</v>
      </c>
      <c r="AK18" s="129">
        <f t="shared" si="2"/>
        <v>0</v>
      </c>
      <c r="AL18" s="129">
        <f t="shared" si="2"/>
        <v>0</v>
      </c>
      <c r="AM18" s="129">
        <f>SUM(AM13:AM17)</f>
        <v>-1449.7</v>
      </c>
      <c r="AN18" s="129">
        <f t="shared" si="2"/>
        <v>-27827.25</v>
      </c>
      <c r="AO18" s="129">
        <f t="shared" si="2"/>
        <v>0</v>
      </c>
      <c r="AP18" s="129">
        <f t="shared" si="2"/>
        <v>0</v>
      </c>
      <c r="AQ18" s="129">
        <f t="shared" si="2"/>
        <v>-30676.95</v>
      </c>
      <c r="AR18" s="119"/>
      <c r="AS18" s="132" t="s">
        <v>99</v>
      </c>
      <c r="AT18" s="128">
        <f aca="true" t="shared" si="3" ref="AT18:BC18">SUM(AT13:AT17)</f>
        <v>0</v>
      </c>
      <c r="AU18" s="128">
        <f t="shared" si="3"/>
        <v>0</v>
      </c>
      <c r="AV18" s="129">
        <f t="shared" si="3"/>
        <v>-400</v>
      </c>
      <c r="AW18" s="129">
        <f t="shared" si="3"/>
        <v>-400</v>
      </c>
      <c r="AX18" s="129">
        <f t="shared" si="3"/>
        <v>0</v>
      </c>
      <c r="AY18" s="129">
        <f t="shared" si="3"/>
        <v>0</v>
      </c>
      <c r="AZ18" s="129">
        <f t="shared" si="3"/>
        <v>0</v>
      </c>
      <c r="BA18" s="129">
        <f t="shared" si="3"/>
        <v>0</v>
      </c>
      <c r="BB18" s="129">
        <f t="shared" si="3"/>
        <v>0</v>
      </c>
      <c r="BC18" s="129">
        <f t="shared" si="3"/>
        <v>-800</v>
      </c>
      <c r="BD18" s="119"/>
      <c r="BE18" s="200"/>
      <c r="BF18" s="132" t="s">
        <v>99</v>
      </c>
      <c r="BG18" s="128">
        <f aca="true" t="shared" si="4" ref="BG18:BL18">SUM(BG13:BG17)</f>
        <v>-84895.65</v>
      </c>
      <c r="BH18" s="129">
        <f t="shared" si="4"/>
        <v>-240329</v>
      </c>
      <c r="BI18" s="128">
        <f t="shared" si="4"/>
        <v>-1407978.09</v>
      </c>
      <c r="BJ18" s="129">
        <f t="shared" si="4"/>
        <v>0</v>
      </c>
      <c r="BK18" s="129">
        <f t="shared" si="4"/>
        <v>0</v>
      </c>
      <c r="BL18" s="129">
        <f t="shared" si="4"/>
        <v>-1733202.7400000002</v>
      </c>
      <c r="BM18" s="121"/>
      <c r="BN18" s="121"/>
      <c r="BO18" s="132" t="s">
        <v>99</v>
      </c>
      <c r="BP18" s="128">
        <f>SUM(BP13:BP17)</f>
        <v>-1988000</v>
      </c>
      <c r="BQ18" s="128">
        <f>SUM(BQ13:BQ17)</f>
        <v>-4160956.64152</v>
      </c>
    </row>
    <row r="19" spans="1:69" ht="16.5" customHeight="1">
      <c r="A19" s="132"/>
      <c r="C19" s="128"/>
      <c r="D19" s="129"/>
      <c r="E19" s="129"/>
      <c r="F19" s="129"/>
      <c r="G19" s="129"/>
      <c r="H19" s="129"/>
      <c r="I19" s="128"/>
      <c r="J19" s="113"/>
      <c r="K19" s="113"/>
      <c r="L19" s="132"/>
      <c r="M19" s="128"/>
      <c r="N19" s="129"/>
      <c r="O19" s="129"/>
      <c r="P19" s="129"/>
      <c r="Q19" s="128"/>
      <c r="R19" s="129"/>
      <c r="S19" s="129"/>
      <c r="T19" s="129"/>
      <c r="U19" s="129"/>
      <c r="V19" s="129"/>
      <c r="W19" s="129"/>
      <c r="X19" s="128"/>
      <c r="Y19" s="129"/>
      <c r="Z19" s="129"/>
      <c r="AA19" s="129"/>
      <c r="AB19" s="129"/>
      <c r="AC19" s="119"/>
      <c r="AD19" s="132"/>
      <c r="AE19" s="128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19"/>
      <c r="AS19" s="132"/>
      <c r="AT19" s="128"/>
      <c r="AU19" s="129"/>
      <c r="AV19" s="129"/>
      <c r="AW19" s="129"/>
      <c r="AX19" s="129"/>
      <c r="AY19" s="129"/>
      <c r="AZ19" s="129"/>
      <c r="BA19" s="129"/>
      <c r="BB19" s="129"/>
      <c r="BC19" s="129"/>
      <c r="BD19" s="119"/>
      <c r="BE19" s="200"/>
      <c r="BF19" s="132"/>
      <c r="BG19" s="128"/>
      <c r="BH19" s="129"/>
      <c r="BI19" s="128"/>
      <c r="BJ19" s="129"/>
      <c r="BK19" s="129"/>
      <c r="BL19" s="129"/>
      <c r="BM19" s="121"/>
      <c r="BN19" s="121"/>
      <c r="BO19" s="132"/>
      <c r="BP19" s="128"/>
      <c r="BQ19" s="128"/>
    </row>
    <row r="20" spans="1:69" ht="16.5" customHeight="1">
      <c r="A20" s="110" t="s">
        <v>416</v>
      </c>
      <c r="C20" s="131">
        <v>0</v>
      </c>
      <c r="D20" s="130">
        <f>AB20</f>
        <v>0</v>
      </c>
      <c r="E20" s="130">
        <f>BL20</f>
        <v>0</v>
      </c>
      <c r="F20" s="130">
        <f>SUM(C20:E20)</f>
        <v>0</v>
      </c>
      <c r="G20" s="130"/>
      <c r="H20" s="130"/>
      <c r="I20" s="131">
        <f>F20-G20+H20</f>
        <v>0</v>
      </c>
      <c r="J20" s="113"/>
      <c r="K20" s="113"/>
      <c r="L20" s="110" t="s">
        <v>416</v>
      </c>
      <c r="M20" s="131">
        <f>-1800000+1800000</f>
        <v>0</v>
      </c>
      <c r="N20" s="130"/>
      <c r="O20" s="130"/>
      <c r="P20" s="130">
        <v>0</v>
      </c>
      <c r="Q20" s="346">
        <v>0</v>
      </c>
      <c r="R20" s="130">
        <v>0</v>
      </c>
      <c r="S20" s="130">
        <v>0</v>
      </c>
      <c r="T20" s="130">
        <v>0</v>
      </c>
      <c r="U20" s="130"/>
      <c r="V20" s="130">
        <v>0</v>
      </c>
      <c r="W20" s="350">
        <v>0</v>
      </c>
      <c r="X20" s="131">
        <v>0</v>
      </c>
      <c r="Y20" s="130">
        <v>0</v>
      </c>
      <c r="Z20" s="131">
        <f>AQ20</f>
        <v>0</v>
      </c>
      <c r="AA20" s="131">
        <f>BC20</f>
        <v>0</v>
      </c>
      <c r="AB20" s="130">
        <f>SUM(M20:AA20)</f>
        <v>0</v>
      </c>
      <c r="AC20" s="110"/>
      <c r="AD20" s="435" t="s">
        <v>416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0</v>
      </c>
      <c r="AM20" s="130">
        <v>0</v>
      </c>
      <c r="AN20" s="131">
        <v>0</v>
      </c>
      <c r="AO20" s="131">
        <v>0</v>
      </c>
      <c r="AP20" s="131">
        <v>0</v>
      </c>
      <c r="AQ20" s="130">
        <f>SUM(AE20:AP20)</f>
        <v>0</v>
      </c>
      <c r="AR20" s="119"/>
      <c r="AS20" s="333" t="s">
        <v>416</v>
      </c>
      <c r="AT20" s="131">
        <v>0</v>
      </c>
      <c r="AU20" s="131">
        <v>0</v>
      </c>
      <c r="AV20" s="131">
        <v>0</v>
      </c>
      <c r="AW20" s="131">
        <v>0</v>
      </c>
      <c r="AX20" s="131">
        <v>0</v>
      </c>
      <c r="AY20" s="131">
        <v>0</v>
      </c>
      <c r="AZ20" s="131">
        <v>0</v>
      </c>
      <c r="BA20" s="131">
        <v>0</v>
      </c>
      <c r="BB20" s="131">
        <v>0</v>
      </c>
      <c r="BC20" s="130">
        <f>SUM(AT20:BB20)</f>
        <v>0</v>
      </c>
      <c r="BD20" s="119"/>
      <c r="BE20" s="200"/>
      <c r="BF20" s="132"/>
      <c r="BG20" s="131">
        <v>0</v>
      </c>
      <c r="BH20" s="130">
        <v>0</v>
      </c>
      <c r="BI20" s="131">
        <v>0</v>
      </c>
      <c r="BJ20" s="130">
        <v>0</v>
      </c>
      <c r="BK20" s="130"/>
      <c r="BL20" s="130">
        <f>SUM(BG20:BK20)</f>
        <v>0</v>
      </c>
      <c r="BM20" s="121"/>
      <c r="BN20" s="121"/>
      <c r="BO20" s="110" t="s">
        <v>416</v>
      </c>
      <c r="BP20" s="131">
        <v>-1760000</v>
      </c>
      <c r="BQ20" s="131">
        <f>BP20*$BR$2</f>
        <v>-3683744.3104</v>
      </c>
    </row>
    <row r="21" spans="1:69" ht="16.5" customHeight="1">
      <c r="A21" s="122"/>
      <c r="C21" s="123">
        <f aca="true" t="shared" si="5" ref="C21:I21">C18+C20</f>
        <v>-7664619</v>
      </c>
      <c r="D21" s="123">
        <f t="shared" si="5"/>
        <v>-4872723.100000001</v>
      </c>
      <c r="E21" s="123">
        <f t="shared" si="5"/>
        <v>-1733202.7400000002</v>
      </c>
      <c r="F21" s="123">
        <f t="shared" si="5"/>
        <v>-14270544.840000002</v>
      </c>
      <c r="G21" s="123">
        <f t="shared" si="5"/>
        <v>12523001</v>
      </c>
      <c r="H21" s="123">
        <f t="shared" si="5"/>
        <v>0</v>
      </c>
      <c r="I21" s="123">
        <f t="shared" si="5"/>
        <v>-26793545.840000004</v>
      </c>
      <c r="J21" s="113"/>
      <c r="K21" s="113"/>
      <c r="L21" s="122"/>
      <c r="M21" s="123">
        <f aca="true" t="shared" si="6" ref="M21:AB21">M18+M20</f>
        <v>505313.4</v>
      </c>
      <c r="N21" s="123">
        <f t="shared" si="6"/>
        <v>836005</v>
      </c>
      <c r="O21" s="123">
        <f t="shared" si="6"/>
        <v>-1456252</v>
      </c>
      <c r="P21" s="123">
        <f>P18+P20</f>
        <v>-50542</v>
      </c>
      <c r="Q21" s="123">
        <f t="shared" si="6"/>
        <v>23837</v>
      </c>
      <c r="R21" s="123">
        <f t="shared" si="6"/>
        <v>-214255</v>
      </c>
      <c r="S21" s="123">
        <f t="shared" si="6"/>
        <v>-3139907</v>
      </c>
      <c r="T21" s="123">
        <f t="shared" si="6"/>
        <v>-7466.5</v>
      </c>
      <c r="U21" s="123">
        <f>U18+U20</f>
        <v>0</v>
      </c>
      <c r="V21" s="123">
        <f t="shared" si="6"/>
        <v>-164526.05</v>
      </c>
      <c r="W21" s="123">
        <f t="shared" si="6"/>
        <v>-1173453</v>
      </c>
      <c r="X21" s="123">
        <f>X18+X20</f>
        <v>0</v>
      </c>
      <c r="Y21" s="123">
        <f t="shared" si="6"/>
        <v>0</v>
      </c>
      <c r="Z21" s="123">
        <f t="shared" si="6"/>
        <v>-30676.95</v>
      </c>
      <c r="AA21" s="123">
        <f t="shared" si="6"/>
        <v>-800</v>
      </c>
      <c r="AB21" s="123">
        <f t="shared" si="6"/>
        <v>-4872723.100000001</v>
      </c>
      <c r="AC21" s="122"/>
      <c r="AD21" s="124">
        <f aca="true" t="shared" si="7" ref="AD21:AQ21">AD18+AD20</f>
        <v>0</v>
      </c>
      <c r="AE21" s="123">
        <f t="shared" si="7"/>
        <v>0</v>
      </c>
      <c r="AF21" s="123">
        <f t="shared" si="7"/>
        <v>0</v>
      </c>
      <c r="AG21" s="123">
        <f t="shared" si="7"/>
        <v>0</v>
      </c>
      <c r="AH21" s="123">
        <f t="shared" si="7"/>
        <v>-600</v>
      </c>
      <c r="AI21" s="123">
        <f t="shared" si="7"/>
        <v>-400</v>
      </c>
      <c r="AJ21" s="123">
        <f t="shared" si="7"/>
        <v>-400</v>
      </c>
      <c r="AK21" s="123">
        <f t="shared" si="7"/>
        <v>0</v>
      </c>
      <c r="AL21" s="123">
        <f t="shared" si="7"/>
        <v>0</v>
      </c>
      <c r="AM21" s="123">
        <f>AM18+AM20</f>
        <v>-1449.7</v>
      </c>
      <c r="AN21" s="123">
        <f t="shared" si="7"/>
        <v>-27827.25</v>
      </c>
      <c r="AO21" s="123">
        <f t="shared" si="7"/>
        <v>0</v>
      </c>
      <c r="AP21" s="123">
        <f t="shared" si="7"/>
        <v>0</v>
      </c>
      <c r="AQ21" s="123">
        <f t="shared" si="7"/>
        <v>-30676.95</v>
      </c>
      <c r="AR21" s="113"/>
      <c r="AS21" s="122"/>
      <c r="AT21" s="123">
        <f aca="true" t="shared" si="8" ref="AT21:BC21">AT18+AT20</f>
        <v>0</v>
      </c>
      <c r="AU21" s="123">
        <f t="shared" si="8"/>
        <v>0</v>
      </c>
      <c r="AV21" s="123">
        <f t="shared" si="8"/>
        <v>-400</v>
      </c>
      <c r="AW21" s="123">
        <f t="shared" si="8"/>
        <v>-400</v>
      </c>
      <c r="AX21" s="123">
        <f t="shared" si="8"/>
        <v>0</v>
      </c>
      <c r="AY21" s="123">
        <f t="shared" si="8"/>
        <v>0</v>
      </c>
      <c r="AZ21" s="123">
        <f t="shared" si="8"/>
        <v>0</v>
      </c>
      <c r="BA21" s="123">
        <f t="shared" si="8"/>
        <v>0</v>
      </c>
      <c r="BB21" s="123">
        <f t="shared" si="8"/>
        <v>0</v>
      </c>
      <c r="BC21" s="123">
        <f t="shared" si="8"/>
        <v>-800</v>
      </c>
      <c r="BD21" s="113"/>
      <c r="BE21" s="200"/>
      <c r="BF21" s="122"/>
      <c r="BG21" s="123">
        <f aca="true" t="shared" si="9" ref="BG21:BL21">BG18+BG20</f>
        <v>-84895.65</v>
      </c>
      <c r="BH21" s="123">
        <f t="shared" si="9"/>
        <v>-240329</v>
      </c>
      <c r="BI21" s="123">
        <f t="shared" si="9"/>
        <v>-1407978.09</v>
      </c>
      <c r="BJ21" s="123">
        <f t="shared" si="9"/>
        <v>0</v>
      </c>
      <c r="BK21" s="123">
        <f t="shared" si="9"/>
        <v>0</v>
      </c>
      <c r="BL21" s="123">
        <f t="shared" si="9"/>
        <v>-1733202.7400000002</v>
      </c>
      <c r="BM21" s="125"/>
      <c r="BN21" s="125"/>
      <c r="BO21" s="122"/>
      <c r="BP21" s="123">
        <f>BP18+BP20</f>
        <v>-3748000</v>
      </c>
      <c r="BQ21" s="123">
        <f>BQ18+BQ20</f>
        <v>-7844700.95192</v>
      </c>
    </row>
    <row r="22" spans="1:69" ht="16.5" customHeight="1">
      <c r="A22" s="122"/>
      <c r="C22" s="123"/>
      <c r="D22" s="124"/>
      <c r="E22" s="124"/>
      <c r="F22" s="124"/>
      <c r="G22" s="124"/>
      <c r="H22" s="124"/>
      <c r="I22" s="123"/>
      <c r="J22" s="113"/>
      <c r="K22" s="113"/>
      <c r="L22" s="122"/>
      <c r="M22" s="123"/>
      <c r="N22" s="123"/>
      <c r="O22" s="123"/>
      <c r="P22" s="123"/>
      <c r="Q22" s="123"/>
      <c r="R22" s="124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22"/>
      <c r="AD22" s="125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4"/>
      <c r="AR22" s="113"/>
      <c r="AS22" s="122"/>
      <c r="AT22" s="123"/>
      <c r="AU22" s="123"/>
      <c r="AV22" s="123"/>
      <c r="AW22" s="123"/>
      <c r="AX22" s="123"/>
      <c r="AY22" s="123"/>
      <c r="AZ22" s="123"/>
      <c r="BA22" s="123"/>
      <c r="BB22" s="123"/>
      <c r="BC22" s="124"/>
      <c r="BD22" s="113"/>
      <c r="BE22" s="200"/>
      <c r="BF22" s="122"/>
      <c r="BG22" s="123"/>
      <c r="BH22" s="123"/>
      <c r="BI22" s="123"/>
      <c r="BJ22" s="123"/>
      <c r="BK22" s="123"/>
      <c r="BL22" s="124"/>
      <c r="BM22" s="125"/>
      <c r="BN22" s="125"/>
      <c r="BO22" s="122"/>
      <c r="BP22" s="123"/>
      <c r="BQ22" s="123"/>
    </row>
    <row r="23" spans="1:69" s="133" customFormat="1" ht="16.5" customHeight="1">
      <c r="A23" s="110" t="s">
        <v>443</v>
      </c>
      <c r="C23" s="131">
        <v>0</v>
      </c>
      <c r="D23" s="130">
        <f>AB23</f>
        <v>375569.152</v>
      </c>
      <c r="E23" s="130">
        <f>BL23</f>
        <v>0</v>
      </c>
      <c r="F23" s="130">
        <f>SUM(C23:E23)</f>
        <v>375569.152</v>
      </c>
      <c r="G23" s="130">
        <f>'Con P&amp;L Journals'!E46</f>
        <v>0</v>
      </c>
      <c r="H23" s="130">
        <f>'Con P&amp;L Journals'!F46</f>
        <v>0</v>
      </c>
      <c r="I23" s="131">
        <f>F23+G23-H23</f>
        <v>375569.152</v>
      </c>
      <c r="J23" s="119">
        <f>C23+S23</f>
        <v>0</v>
      </c>
      <c r="K23" s="119"/>
      <c r="L23" s="110" t="s">
        <v>443</v>
      </c>
      <c r="M23" s="574">
        <f>0.28*M21</f>
        <v>141487.752</v>
      </c>
      <c r="N23" s="574">
        <f>0.28*N21</f>
        <v>234081.40000000002</v>
      </c>
      <c r="O23" s="131">
        <v>0</v>
      </c>
      <c r="P23" s="131">
        <v>0</v>
      </c>
      <c r="Q23" s="346">
        <v>0</v>
      </c>
      <c r="R23" s="130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f>AQ23</f>
        <v>0</v>
      </c>
      <c r="AA23" s="131">
        <f>BC23</f>
        <v>0</v>
      </c>
      <c r="AB23" s="130">
        <f>SUM(M23:AA23)</f>
        <v>375569.152</v>
      </c>
      <c r="AC23" s="119"/>
      <c r="AD23" s="110" t="s">
        <v>443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/>
      <c r="AN23" s="131">
        <v>0</v>
      </c>
      <c r="AO23" s="131">
        <v>0</v>
      </c>
      <c r="AP23" s="131">
        <v>0</v>
      </c>
      <c r="AQ23" s="130">
        <f>SUM(AE23:AP23)</f>
        <v>0</v>
      </c>
      <c r="AR23" s="119"/>
      <c r="AS23" s="110" t="s">
        <v>443</v>
      </c>
      <c r="AT23" s="131">
        <v>0</v>
      </c>
      <c r="AU23" s="131">
        <v>0</v>
      </c>
      <c r="AV23" s="131">
        <v>0</v>
      </c>
      <c r="AW23" s="131"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0">
        <f>SUM(AT23:BB23)</f>
        <v>0</v>
      </c>
      <c r="BD23" s="119"/>
      <c r="BE23" s="347"/>
      <c r="BF23" s="110" t="s">
        <v>443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0">
        <f>SUM(BG23:BK23)</f>
        <v>0</v>
      </c>
      <c r="BM23" s="121"/>
      <c r="BN23" s="121"/>
      <c r="BO23" s="110" t="s">
        <v>443</v>
      </c>
      <c r="BP23" s="131">
        <v>0</v>
      </c>
      <c r="BQ23" s="131">
        <f>BP23*$BR$2</f>
        <v>0</v>
      </c>
    </row>
    <row r="24" spans="1:69" ht="16.5" customHeight="1">
      <c r="A24" s="116" t="s">
        <v>100</v>
      </c>
      <c r="C24" s="128">
        <f aca="true" t="shared" si="10" ref="C24:I24">C21-C23</f>
        <v>-7664619</v>
      </c>
      <c r="D24" s="128">
        <f t="shared" si="10"/>
        <v>-5248292.252</v>
      </c>
      <c r="E24" s="128">
        <f t="shared" si="10"/>
        <v>-1733202.7400000002</v>
      </c>
      <c r="F24" s="128">
        <f t="shared" si="10"/>
        <v>-14646113.992000002</v>
      </c>
      <c r="G24" s="128">
        <f t="shared" si="10"/>
        <v>12523001</v>
      </c>
      <c r="H24" s="128">
        <f t="shared" si="10"/>
        <v>0</v>
      </c>
      <c r="I24" s="128">
        <f t="shared" si="10"/>
        <v>-27169114.992000002</v>
      </c>
      <c r="J24" s="119"/>
      <c r="K24" s="113"/>
      <c r="L24" s="116" t="s">
        <v>100</v>
      </c>
      <c r="M24" s="128">
        <f aca="true" t="shared" si="11" ref="M24:AB24">M21-M23</f>
        <v>363825.64800000004</v>
      </c>
      <c r="N24" s="128">
        <f t="shared" si="11"/>
        <v>601923.6</v>
      </c>
      <c r="O24" s="128">
        <f t="shared" si="11"/>
        <v>-1456252</v>
      </c>
      <c r="P24" s="128">
        <f>P21-P23</f>
        <v>-50542</v>
      </c>
      <c r="Q24" s="128">
        <f t="shared" si="11"/>
        <v>23837</v>
      </c>
      <c r="R24" s="128">
        <f t="shared" si="11"/>
        <v>-214255</v>
      </c>
      <c r="S24" s="128">
        <f t="shared" si="11"/>
        <v>-3139907</v>
      </c>
      <c r="T24" s="128">
        <f t="shared" si="11"/>
        <v>-7466.5</v>
      </c>
      <c r="U24" s="128">
        <f>U21-U23</f>
        <v>0</v>
      </c>
      <c r="V24" s="128">
        <f t="shared" si="11"/>
        <v>-164526.05</v>
      </c>
      <c r="W24" s="128">
        <f t="shared" si="11"/>
        <v>-1173453</v>
      </c>
      <c r="X24" s="128">
        <f>X21-X23</f>
        <v>0</v>
      </c>
      <c r="Y24" s="128">
        <f t="shared" si="11"/>
        <v>0</v>
      </c>
      <c r="Z24" s="128">
        <f t="shared" si="11"/>
        <v>-30676.95</v>
      </c>
      <c r="AA24" s="128">
        <f t="shared" si="11"/>
        <v>-800</v>
      </c>
      <c r="AB24" s="128">
        <f t="shared" si="11"/>
        <v>-5248292.252</v>
      </c>
      <c r="AC24" s="119"/>
      <c r="AD24" s="116" t="s">
        <v>100</v>
      </c>
      <c r="AE24" s="128">
        <f aca="true" t="shared" si="12" ref="AE24:BC24">AE21-AE23</f>
        <v>0</v>
      </c>
      <c r="AF24" s="128">
        <f t="shared" si="12"/>
        <v>0</v>
      </c>
      <c r="AG24" s="128">
        <f t="shared" si="12"/>
        <v>0</v>
      </c>
      <c r="AH24" s="128">
        <f t="shared" si="12"/>
        <v>-600</v>
      </c>
      <c r="AI24" s="128">
        <f t="shared" si="12"/>
        <v>-400</v>
      </c>
      <c r="AJ24" s="128">
        <f t="shared" si="12"/>
        <v>-400</v>
      </c>
      <c r="AK24" s="128">
        <f t="shared" si="12"/>
        <v>0</v>
      </c>
      <c r="AL24" s="128">
        <f t="shared" si="12"/>
        <v>0</v>
      </c>
      <c r="AM24" s="128">
        <f>AM21-AM23</f>
        <v>-1449.7</v>
      </c>
      <c r="AN24" s="128">
        <f t="shared" si="12"/>
        <v>-27827.25</v>
      </c>
      <c r="AO24" s="128">
        <f t="shared" si="12"/>
        <v>0</v>
      </c>
      <c r="AP24" s="128">
        <f t="shared" si="12"/>
        <v>0</v>
      </c>
      <c r="AQ24" s="128">
        <f t="shared" si="12"/>
        <v>-30676.95</v>
      </c>
      <c r="AR24" s="110"/>
      <c r="AS24" s="128">
        <f t="shared" si="12"/>
        <v>0</v>
      </c>
      <c r="AT24" s="128">
        <f t="shared" si="12"/>
        <v>0</v>
      </c>
      <c r="AU24" s="128">
        <f t="shared" si="12"/>
        <v>0</v>
      </c>
      <c r="AV24" s="128">
        <f t="shared" si="12"/>
        <v>-400</v>
      </c>
      <c r="AW24" s="128">
        <f t="shared" si="12"/>
        <v>-400</v>
      </c>
      <c r="AX24" s="128">
        <f t="shared" si="12"/>
        <v>0</v>
      </c>
      <c r="AY24" s="128">
        <f t="shared" si="12"/>
        <v>0</v>
      </c>
      <c r="AZ24" s="128">
        <f t="shared" si="12"/>
        <v>0</v>
      </c>
      <c r="BA24" s="128">
        <f t="shared" si="12"/>
        <v>0</v>
      </c>
      <c r="BB24" s="128">
        <f t="shared" si="12"/>
        <v>0</v>
      </c>
      <c r="BC24" s="128">
        <f t="shared" si="12"/>
        <v>-800</v>
      </c>
      <c r="BD24" s="119"/>
      <c r="BE24" s="200"/>
      <c r="BF24" s="116" t="s">
        <v>100</v>
      </c>
      <c r="BG24" s="128">
        <f aca="true" t="shared" si="13" ref="BG24:BL24">BG21-BG23</f>
        <v>-84895.65</v>
      </c>
      <c r="BH24" s="128">
        <f t="shared" si="13"/>
        <v>-240329</v>
      </c>
      <c r="BI24" s="128">
        <f t="shared" si="13"/>
        <v>-1407978.09</v>
      </c>
      <c r="BJ24" s="128">
        <f t="shared" si="13"/>
        <v>0</v>
      </c>
      <c r="BK24" s="128">
        <f t="shared" si="13"/>
        <v>0</v>
      </c>
      <c r="BL24" s="128">
        <f t="shared" si="13"/>
        <v>-1733202.7400000002</v>
      </c>
      <c r="BM24" s="121"/>
      <c r="BN24" s="121"/>
      <c r="BO24" s="116" t="s">
        <v>100</v>
      </c>
      <c r="BP24" s="128">
        <f>BP21-BP23</f>
        <v>-3748000</v>
      </c>
      <c r="BQ24" s="128">
        <f>BQ21-BQ23</f>
        <v>-7844700.95192</v>
      </c>
    </row>
    <row r="25" spans="1:69" ht="16.5" customHeight="1">
      <c r="A25" s="122"/>
      <c r="C25" s="123"/>
      <c r="D25" s="129"/>
      <c r="E25" s="129"/>
      <c r="F25" s="124"/>
      <c r="G25" s="124"/>
      <c r="H25" s="124"/>
      <c r="I25" s="123"/>
      <c r="J25" s="113"/>
      <c r="K25" s="113"/>
      <c r="L25" s="122"/>
      <c r="M25" s="123"/>
      <c r="N25" s="129"/>
      <c r="O25" s="124"/>
      <c r="P25" s="124"/>
      <c r="Q25" s="123"/>
      <c r="R25" s="124"/>
      <c r="S25" s="124"/>
      <c r="T25" s="124"/>
      <c r="U25" s="124"/>
      <c r="V25" s="124"/>
      <c r="W25" s="124"/>
      <c r="X25" s="123"/>
      <c r="Y25" s="124"/>
      <c r="Z25" s="124"/>
      <c r="AA25" s="124"/>
      <c r="AB25" s="124"/>
      <c r="AC25" s="113"/>
      <c r="AD25" s="122"/>
      <c r="AE25" s="123"/>
      <c r="AF25" s="129"/>
      <c r="AG25" s="129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13"/>
      <c r="AS25" s="122"/>
      <c r="AT25" s="123"/>
      <c r="AU25" s="124"/>
      <c r="AV25" s="124"/>
      <c r="AW25" s="124"/>
      <c r="AX25" s="124"/>
      <c r="AY25" s="124"/>
      <c r="AZ25" s="124"/>
      <c r="BA25" s="124"/>
      <c r="BB25" s="124"/>
      <c r="BC25" s="124"/>
      <c r="BD25" s="113"/>
      <c r="BE25" s="200"/>
      <c r="BF25" s="122"/>
      <c r="BG25" s="123"/>
      <c r="BH25" s="124"/>
      <c r="BI25" s="123"/>
      <c r="BJ25" s="129"/>
      <c r="BK25" s="124"/>
      <c r="BL25" s="124"/>
      <c r="BM25" s="125"/>
      <c r="BN25" s="125"/>
      <c r="BO25" s="122"/>
      <c r="BP25" s="123"/>
      <c r="BQ25" s="123"/>
    </row>
    <row r="26" spans="1:69" ht="16.5" customHeight="1">
      <c r="A26" s="110" t="s">
        <v>444</v>
      </c>
      <c r="C26" s="126">
        <v>0</v>
      </c>
      <c r="D26" s="130">
        <f>AB26</f>
        <v>0</v>
      </c>
      <c r="E26" s="130">
        <f>BL26</f>
        <v>0</v>
      </c>
      <c r="F26" s="130">
        <f>SUM(C26:E26)</f>
        <v>0</v>
      </c>
      <c r="G26" s="130">
        <f>'Con P&amp;L Journals'!E57</f>
        <v>0</v>
      </c>
      <c r="H26" s="130">
        <f>'Con P&amp;L Journals'!F57</f>
        <v>0</v>
      </c>
      <c r="I26" s="131">
        <f>F26+G26-H26</f>
        <v>0</v>
      </c>
      <c r="J26" s="125"/>
      <c r="K26" s="125"/>
      <c r="L26" s="110" t="s">
        <v>444</v>
      </c>
      <c r="M26" s="126"/>
      <c r="N26" s="130"/>
      <c r="O26" s="130"/>
      <c r="P26" s="130"/>
      <c r="Q26" s="126"/>
      <c r="R26" s="130"/>
      <c r="S26" s="130"/>
      <c r="T26" s="130"/>
      <c r="U26" s="130"/>
      <c r="V26" s="130"/>
      <c r="W26" s="130"/>
      <c r="X26" s="126"/>
      <c r="Y26" s="130"/>
      <c r="Z26" s="130">
        <f>AQ26</f>
        <v>0</v>
      </c>
      <c r="AA26" s="130">
        <f>BC26</f>
        <v>0</v>
      </c>
      <c r="AB26" s="130">
        <f>SUM(M26:AA26)</f>
        <v>0</v>
      </c>
      <c r="AC26" s="121"/>
      <c r="AD26" s="110" t="s">
        <v>444</v>
      </c>
      <c r="AE26" s="126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>
        <f>SUM(AE26:AP26)</f>
        <v>0</v>
      </c>
      <c r="AR26" s="121"/>
      <c r="AS26" s="110" t="s">
        <v>444</v>
      </c>
      <c r="AT26" s="126"/>
      <c r="AU26" s="126"/>
      <c r="AV26" s="130"/>
      <c r="AW26" s="130"/>
      <c r="AX26" s="130"/>
      <c r="AY26" s="130"/>
      <c r="AZ26" s="130"/>
      <c r="BA26" s="130"/>
      <c r="BB26" s="130"/>
      <c r="BC26" s="130">
        <f>SUM(AT26:BB26)</f>
        <v>0</v>
      </c>
      <c r="BD26" s="121"/>
      <c r="BE26" s="201"/>
      <c r="BF26" s="110" t="s">
        <v>444</v>
      </c>
      <c r="BG26" s="126"/>
      <c r="BH26" s="130"/>
      <c r="BI26" s="126"/>
      <c r="BJ26" s="130">
        <f>BQ26</f>
        <v>0</v>
      </c>
      <c r="BK26" s="130"/>
      <c r="BL26" s="130">
        <f>SUM(BG26:BK26)</f>
        <v>0</v>
      </c>
      <c r="BM26" s="121"/>
      <c r="BN26" s="121"/>
      <c r="BO26" s="110" t="s">
        <v>444</v>
      </c>
      <c r="BP26" s="126"/>
      <c r="BQ26" s="126">
        <f>BP26*$BR$2</f>
        <v>0</v>
      </c>
    </row>
    <row r="27" spans="1:69" ht="16.5" customHeight="1">
      <c r="A27" s="116" t="s">
        <v>101</v>
      </c>
      <c r="C27" s="128">
        <f>C24-C26</f>
        <v>-7664619</v>
      </c>
      <c r="D27" s="129">
        <f>D24-D26</f>
        <v>-5248292.252</v>
      </c>
      <c r="E27" s="129">
        <f>E24-E26</f>
        <v>-1733202.7400000002</v>
      </c>
      <c r="F27" s="129">
        <f>F24-F26</f>
        <v>-14646113.992000002</v>
      </c>
      <c r="G27" s="129">
        <f>SUM(G24:G26)</f>
        <v>12523001</v>
      </c>
      <c r="H27" s="129">
        <f>H24+H26</f>
        <v>0</v>
      </c>
      <c r="I27" s="128">
        <f>I24-I26</f>
        <v>-27169114.992000002</v>
      </c>
      <c r="J27" s="119"/>
      <c r="K27" s="113"/>
      <c r="L27" s="116" t="s">
        <v>101</v>
      </c>
      <c r="M27" s="128">
        <f aca="true" t="shared" si="14" ref="M27:AB27">M24-M26</f>
        <v>363825.64800000004</v>
      </c>
      <c r="N27" s="129">
        <f t="shared" si="14"/>
        <v>601923.6</v>
      </c>
      <c r="O27" s="129">
        <f t="shared" si="14"/>
        <v>-1456252</v>
      </c>
      <c r="P27" s="129">
        <f>P24-P26</f>
        <v>-50542</v>
      </c>
      <c r="Q27" s="128">
        <f t="shared" si="14"/>
        <v>23837</v>
      </c>
      <c r="R27" s="129">
        <f t="shared" si="14"/>
        <v>-214255</v>
      </c>
      <c r="S27" s="129">
        <f t="shared" si="14"/>
        <v>-3139907</v>
      </c>
      <c r="T27" s="129">
        <f t="shared" si="14"/>
        <v>-7466.5</v>
      </c>
      <c r="U27" s="129">
        <f>U24-U26</f>
        <v>0</v>
      </c>
      <c r="V27" s="129">
        <f t="shared" si="14"/>
        <v>-164526.05</v>
      </c>
      <c r="W27" s="129">
        <f t="shared" si="14"/>
        <v>-1173453</v>
      </c>
      <c r="X27" s="128">
        <f>X24-X26</f>
        <v>0</v>
      </c>
      <c r="Y27" s="129">
        <f t="shared" si="14"/>
        <v>0</v>
      </c>
      <c r="Z27" s="129">
        <f t="shared" si="14"/>
        <v>-30676.95</v>
      </c>
      <c r="AA27" s="129">
        <f t="shared" si="14"/>
        <v>-800</v>
      </c>
      <c r="AB27" s="129">
        <f t="shared" si="14"/>
        <v>-5248292.252</v>
      </c>
      <c r="AC27" s="119"/>
      <c r="AD27" s="116" t="s">
        <v>101</v>
      </c>
      <c r="AE27" s="128">
        <f aca="true" t="shared" si="15" ref="AE27:AQ27">AE24-AE26</f>
        <v>0</v>
      </c>
      <c r="AF27" s="129">
        <f t="shared" si="15"/>
        <v>0</v>
      </c>
      <c r="AG27" s="129">
        <f t="shared" si="15"/>
        <v>0</v>
      </c>
      <c r="AH27" s="129">
        <f t="shared" si="15"/>
        <v>-600</v>
      </c>
      <c r="AI27" s="129">
        <f t="shared" si="15"/>
        <v>-400</v>
      </c>
      <c r="AJ27" s="129">
        <f t="shared" si="15"/>
        <v>-400</v>
      </c>
      <c r="AK27" s="129">
        <f t="shared" si="15"/>
        <v>0</v>
      </c>
      <c r="AL27" s="129">
        <f t="shared" si="15"/>
        <v>0</v>
      </c>
      <c r="AM27" s="129">
        <f>AM24-AM26</f>
        <v>-1449.7</v>
      </c>
      <c r="AN27" s="129">
        <f t="shared" si="15"/>
        <v>-27827.25</v>
      </c>
      <c r="AO27" s="129">
        <f t="shared" si="15"/>
        <v>0</v>
      </c>
      <c r="AP27" s="129">
        <f t="shared" si="15"/>
        <v>0</v>
      </c>
      <c r="AQ27" s="129">
        <f t="shared" si="15"/>
        <v>-30676.95</v>
      </c>
      <c r="AR27" s="119"/>
      <c r="AS27" s="116" t="s">
        <v>101</v>
      </c>
      <c r="AT27" s="128">
        <f aca="true" t="shared" si="16" ref="AT27:BC27">AT24-AT26</f>
        <v>0</v>
      </c>
      <c r="AU27" s="128">
        <f t="shared" si="16"/>
        <v>0</v>
      </c>
      <c r="AV27" s="129">
        <f t="shared" si="16"/>
        <v>-400</v>
      </c>
      <c r="AW27" s="129">
        <f t="shared" si="16"/>
        <v>-400</v>
      </c>
      <c r="AX27" s="129">
        <f t="shared" si="16"/>
        <v>0</v>
      </c>
      <c r="AY27" s="129">
        <f t="shared" si="16"/>
        <v>0</v>
      </c>
      <c r="AZ27" s="129">
        <f t="shared" si="16"/>
        <v>0</v>
      </c>
      <c r="BA27" s="129">
        <f t="shared" si="16"/>
        <v>0</v>
      </c>
      <c r="BB27" s="129">
        <f t="shared" si="16"/>
        <v>0</v>
      </c>
      <c r="BC27" s="129">
        <f t="shared" si="16"/>
        <v>-800</v>
      </c>
      <c r="BD27" s="119"/>
      <c r="BE27" s="200"/>
      <c r="BF27" s="116" t="s">
        <v>101</v>
      </c>
      <c r="BG27" s="128">
        <f aca="true" t="shared" si="17" ref="BG27:BL27">BG24-BG26</f>
        <v>-84895.65</v>
      </c>
      <c r="BH27" s="129">
        <f t="shared" si="17"/>
        <v>-240329</v>
      </c>
      <c r="BI27" s="128">
        <f t="shared" si="17"/>
        <v>-1407978.09</v>
      </c>
      <c r="BJ27" s="129">
        <f t="shared" si="17"/>
        <v>0</v>
      </c>
      <c r="BK27" s="129">
        <f t="shared" si="17"/>
        <v>0</v>
      </c>
      <c r="BL27" s="129">
        <f t="shared" si="17"/>
        <v>-1733202.7400000002</v>
      </c>
      <c r="BM27" s="121"/>
      <c r="BN27" s="121"/>
      <c r="BO27" s="116" t="s">
        <v>101</v>
      </c>
      <c r="BP27" s="128">
        <f>BP24-BP26</f>
        <v>-3748000</v>
      </c>
      <c r="BQ27" s="128">
        <f>BQ24-BQ26</f>
        <v>-7844700.95192</v>
      </c>
    </row>
    <row r="28" spans="1:69" ht="16.5" customHeight="1">
      <c r="A28" s="110" t="s">
        <v>445</v>
      </c>
      <c r="C28" s="128"/>
      <c r="D28" s="129"/>
      <c r="E28" s="129"/>
      <c r="F28" s="129"/>
      <c r="G28" s="124"/>
      <c r="H28" s="124"/>
      <c r="I28" s="123"/>
      <c r="J28" s="113"/>
      <c r="K28" s="113"/>
      <c r="L28" s="110" t="s">
        <v>445</v>
      </c>
      <c r="M28" s="128"/>
      <c r="N28" s="129"/>
      <c r="O28" s="124"/>
      <c r="P28" s="124"/>
      <c r="Q28" s="128"/>
      <c r="R28" s="124"/>
      <c r="S28" s="124"/>
      <c r="T28" s="124"/>
      <c r="U28" s="124"/>
      <c r="V28" s="124"/>
      <c r="W28" s="124"/>
      <c r="X28" s="128"/>
      <c r="Y28" s="124"/>
      <c r="Z28" s="124"/>
      <c r="AA28" s="124"/>
      <c r="AB28" s="124"/>
      <c r="AC28" s="113"/>
      <c r="AD28" s="110" t="s">
        <v>445</v>
      </c>
      <c r="AE28" s="128"/>
      <c r="AF28" s="129"/>
      <c r="AG28" s="129"/>
      <c r="AH28" s="129"/>
      <c r="AI28" s="124"/>
      <c r="AJ28" s="124"/>
      <c r="AK28" s="124"/>
      <c r="AL28" s="124"/>
      <c r="AM28" s="129"/>
      <c r="AN28" s="124"/>
      <c r="AO28" s="124"/>
      <c r="AP28" s="124"/>
      <c r="AQ28" s="124"/>
      <c r="AR28" s="113"/>
      <c r="AS28" s="110" t="s">
        <v>445</v>
      </c>
      <c r="AT28" s="128"/>
      <c r="AU28" s="128"/>
      <c r="AV28" s="124"/>
      <c r="AW28" s="124"/>
      <c r="AX28" s="124"/>
      <c r="AY28" s="124"/>
      <c r="AZ28" s="124"/>
      <c r="BA28" s="124"/>
      <c r="BB28" s="124"/>
      <c r="BC28" s="124"/>
      <c r="BD28" s="113"/>
      <c r="BE28" s="200"/>
      <c r="BF28" s="110" t="s">
        <v>445</v>
      </c>
      <c r="BG28" s="128"/>
      <c r="BH28" s="124"/>
      <c r="BI28" s="128"/>
      <c r="BJ28" s="129"/>
      <c r="BK28" s="124"/>
      <c r="BL28" s="124"/>
      <c r="BM28" s="125"/>
      <c r="BN28" s="125"/>
      <c r="BO28" s="110" t="s">
        <v>445</v>
      </c>
      <c r="BP28" s="128"/>
      <c r="BQ28" s="128"/>
    </row>
    <row r="29" spans="1:69" ht="16.5" customHeight="1">
      <c r="A29" s="110" t="s">
        <v>446</v>
      </c>
      <c r="C29" s="131">
        <v>0</v>
      </c>
      <c r="D29" s="130">
        <f>AB29</f>
        <v>0</v>
      </c>
      <c r="E29" s="130">
        <f>BL29</f>
        <v>0</v>
      </c>
      <c r="F29" s="130">
        <f>SUM(C29:E29)</f>
        <v>0</v>
      </c>
      <c r="G29" s="130">
        <f>'Con P&amp;L Journals'!E63</f>
        <v>0</v>
      </c>
      <c r="H29" s="130">
        <f>'Con P&amp;L Journals'!F63</f>
        <v>0</v>
      </c>
      <c r="I29" s="131">
        <f>F29-G29+H29</f>
        <v>0</v>
      </c>
      <c r="J29" s="113"/>
      <c r="K29" s="113"/>
      <c r="L29" s="110" t="s">
        <v>446</v>
      </c>
      <c r="M29" s="131"/>
      <c r="N29" s="130"/>
      <c r="O29" s="130"/>
      <c r="P29" s="130"/>
      <c r="Q29" s="131">
        <v>0</v>
      </c>
      <c r="R29" s="130"/>
      <c r="S29" s="130">
        <v>0</v>
      </c>
      <c r="T29" s="130"/>
      <c r="U29" s="130"/>
      <c r="V29" s="130"/>
      <c r="W29" s="130"/>
      <c r="X29" s="131">
        <v>0</v>
      </c>
      <c r="Y29" s="130"/>
      <c r="Z29" s="130">
        <f>AQ29</f>
        <v>0</v>
      </c>
      <c r="AA29" s="130">
        <f>BC29</f>
        <v>0</v>
      </c>
      <c r="AB29" s="130">
        <f>SUM(M29:AA29)</f>
        <v>0</v>
      </c>
      <c r="AC29" s="119"/>
      <c r="AD29" s="110" t="s">
        <v>446</v>
      </c>
      <c r="AE29" s="131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>
        <v>0</v>
      </c>
      <c r="AQ29" s="130">
        <f>SUM(AE29:AP29)</f>
        <v>0</v>
      </c>
      <c r="AR29" s="119"/>
      <c r="AS29" s="110" t="s">
        <v>446</v>
      </c>
      <c r="AT29" s="131"/>
      <c r="AU29" s="131"/>
      <c r="AV29" s="130"/>
      <c r="AW29" s="130"/>
      <c r="AX29" s="130"/>
      <c r="AY29" s="130"/>
      <c r="AZ29" s="130"/>
      <c r="BA29" s="130"/>
      <c r="BB29" s="130">
        <v>0</v>
      </c>
      <c r="BC29" s="130">
        <f>SUM(AT29:BB29)</f>
        <v>0</v>
      </c>
      <c r="BD29" s="119"/>
      <c r="BE29" s="200"/>
      <c r="BF29" s="110" t="s">
        <v>446</v>
      </c>
      <c r="BG29" s="131">
        <v>0</v>
      </c>
      <c r="BH29" s="130">
        <v>0</v>
      </c>
      <c r="BI29" s="131">
        <v>0</v>
      </c>
      <c r="BJ29" s="130">
        <f>BQ29</f>
        <v>0</v>
      </c>
      <c r="BK29" s="130"/>
      <c r="BL29" s="130">
        <f>SUM(BG29:BK29)</f>
        <v>0</v>
      </c>
      <c r="BM29" s="121"/>
      <c r="BN29" s="121"/>
      <c r="BO29" s="110" t="s">
        <v>446</v>
      </c>
      <c r="BP29" s="131"/>
      <c r="BQ29" s="131">
        <f>BP29*$BR$2</f>
        <v>0</v>
      </c>
    </row>
    <row r="30" spans="1:69" ht="16.5" customHeight="1">
      <c r="A30" s="132" t="s">
        <v>102</v>
      </c>
      <c r="C30" s="128">
        <f>C27+C29</f>
        <v>-7664619</v>
      </c>
      <c r="D30" s="129">
        <f aca="true" t="shared" si="18" ref="D30:I30">D27+D29</f>
        <v>-5248292.252</v>
      </c>
      <c r="E30" s="129">
        <f t="shared" si="18"/>
        <v>-1733202.7400000002</v>
      </c>
      <c r="F30" s="129">
        <f t="shared" si="18"/>
        <v>-14646113.992000002</v>
      </c>
      <c r="G30" s="129">
        <f t="shared" si="18"/>
        <v>12523001</v>
      </c>
      <c r="H30" s="129">
        <f t="shared" si="18"/>
        <v>0</v>
      </c>
      <c r="I30" s="128">
        <f t="shared" si="18"/>
        <v>-27169114.992000002</v>
      </c>
      <c r="J30" s="113"/>
      <c r="L30" s="132" t="s">
        <v>102</v>
      </c>
      <c r="M30" s="128">
        <f aca="true" t="shared" si="19" ref="M30:AB30">M27+M29</f>
        <v>363825.64800000004</v>
      </c>
      <c r="N30" s="129">
        <f t="shared" si="19"/>
        <v>601923.6</v>
      </c>
      <c r="O30" s="129">
        <f t="shared" si="19"/>
        <v>-1456252</v>
      </c>
      <c r="P30" s="129">
        <f>P27+P29</f>
        <v>-50542</v>
      </c>
      <c r="Q30" s="128">
        <f t="shared" si="19"/>
        <v>23837</v>
      </c>
      <c r="R30" s="129">
        <f t="shared" si="19"/>
        <v>-214255</v>
      </c>
      <c r="S30" s="129">
        <f t="shared" si="19"/>
        <v>-3139907</v>
      </c>
      <c r="T30" s="129">
        <f t="shared" si="19"/>
        <v>-7466.5</v>
      </c>
      <c r="U30" s="129">
        <f>U27+U29</f>
        <v>0</v>
      </c>
      <c r="V30" s="129">
        <f t="shared" si="19"/>
        <v>-164526.05</v>
      </c>
      <c r="W30" s="129">
        <f t="shared" si="19"/>
        <v>-1173453</v>
      </c>
      <c r="X30" s="128">
        <f>X27+X29</f>
        <v>0</v>
      </c>
      <c r="Y30" s="129">
        <f t="shared" si="19"/>
        <v>0</v>
      </c>
      <c r="Z30" s="129">
        <f t="shared" si="19"/>
        <v>-30676.95</v>
      </c>
      <c r="AA30" s="129">
        <f t="shared" si="19"/>
        <v>-800</v>
      </c>
      <c r="AB30" s="129">
        <f t="shared" si="19"/>
        <v>-5248292.252</v>
      </c>
      <c r="AC30" s="119"/>
      <c r="AD30" s="132" t="s">
        <v>102</v>
      </c>
      <c r="AE30" s="128">
        <f aca="true" t="shared" si="20" ref="AE30:AQ30">AE27+AE29</f>
        <v>0</v>
      </c>
      <c r="AF30" s="129">
        <f t="shared" si="20"/>
        <v>0</v>
      </c>
      <c r="AG30" s="129">
        <f t="shared" si="20"/>
        <v>0</v>
      </c>
      <c r="AH30" s="129">
        <f t="shared" si="20"/>
        <v>-600</v>
      </c>
      <c r="AI30" s="129">
        <f t="shared" si="20"/>
        <v>-400</v>
      </c>
      <c r="AJ30" s="129">
        <f t="shared" si="20"/>
        <v>-400</v>
      </c>
      <c r="AK30" s="129">
        <f t="shared" si="20"/>
        <v>0</v>
      </c>
      <c r="AL30" s="129">
        <f t="shared" si="20"/>
        <v>0</v>
      </c>
      <c r="AM30" s="129">
        <f>AM27+AM29</f>
        <v>-1449.7</v>
      </c>
      <c r="AN30" s="129">
        <f t="shared" si="20"/>
        <v>-27827.25</v>
      </c>
      <c r="AO30" s="129">
        <f t="shared" si="20"/>
        <v>0</v>
      </c>
      <c r="AP30" s="129">
        <f t="shared" si="20"/>
        <v>0</v>
      </c>
      <c r="AQ30" s="129">
        <f t="shared" si="20"/>
        <v>-30676.95</v>
      </c>
      <c r="AR30" s="119"/>
      <c r="AS30" s="132" t="s">
        <v>102</v>
      </c>
      <c r="AT30" s="128">
        <f aca="true" t="shared" si="21" ref="AT30:BC30">AT27+AT29</f>
        <v>0</v>
      </c>
      <c r="AU30" s="128">
        <f t="shared" si="21"/>
        <v>0</v>
      </c>
      <c r="AV30" s="129">
        <f t="shared" si="21"/>
        <v>-400</v>
      </c>
      <c r="AW30" s="129">
        <f t="shared" si="21"/>
        <v>-400</v>
      </c>
      <c r="AX30" s="129">
        <f t="shared" si="21"/>
        <v>0</v>
      </c>
      <c r="AY30" s="129">
        <f t="shared" si="21"/>
        <v>0</v>
      </c>
      <c r="AZ30" s="129">
        <f t="shared" si="21"/>
        <v>0</v>
      </c>
      <c r="BA30" s="129">
        <f t="shared" si="21"/>
        <v>0</v>
      </c>
      <c r="BB30" s="129">
        <f t="shared" si="21"/>
        <v>0</v>
      </c>
      <c r="BC30" s="129">
        <f t="shared" si="21"/>
        <v>-800</v>
      </c>
      <c r="BD30" s="119"/>
      <c r="BE30" s="200"/>
      <c r="BF30" s="132" t="s">
        <v>102</v>
      </c>
      <c r="BG30" s="128">
        <f aca="true" t="shared" si="22" ref="BG30:BL30">BG27+BG29</f>
        <v>-84895.65</v>
      </c>
      <c r="BH30" s="129">
        <f t="shared" si="22"/>
        <v>-240329</v>
      </c>
      <c r="BI30" s="128">
        <f t="shared" si="22"/>
        <v>-1407978.09</v>
      </c>
      <c r="BJ30" s="129">
        <f t="shared" si="22"/>
        <v>0</v>
      </c>
      <c r="BK30" s="129">
        <f t="shared" si="22"/>
        <v>0</v>
      </c>
      <c r="BL30" s="129">
        <f t="shared" si="22"/>
        <v>-1733202.7400000002</v>
      </c>
      <c r="BM30" s="121"/>
      <c r="BN30" s="121"/>
      <c r="BO30" s="132" t="s">
        <v>102</v>
      </c>
      <c r="BP30" s="128">
        <f>BP27+BP29</f>
        <v>-3748000</v>
      </c>
      <c r="BQ30" s="128">
        <f>BQ27+BQ29</f>
        <v>-7844700.95192</v>
      </c>
    </row>
    <row r="31" spans="1:69" s="202" customFormat="1" ht="16.5" customHeight="1">
      <c r="A31" s="197"/>
      <c r="C31" s="198"/>
      <c r="D31" s="198"/>
      <c r="E31" s="198"/>
      <c r="F31" s="198"/>
      <c r="G31" s="198"/>
      <c r="H31" s="198"/>
      <c r="I31" s="198"/>
      <c r="J31" s="197"/>
      <c r="K31" s="641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>
        <f>'[5]Con P&amp;L'!AA43</f>
        <v>-2245586.46</v>
      </c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7"/>
      <c r="BE31" s="641"/>
      <c r="BF31" s="198"/>
      <c r="BG31" s="198"/>
      <c r="BH31" s="198"/>
      <c r="BI31" s="198"/>
      <c r="BJ31" s="198"/>
      <c r="BK31" s="198"/>
      <c r="BL31" s="198"/>
      <c r="BM31" s="201"/>
      <c r="BN31" s="201"/>
      <c r="BO31" s="197"/>
      <c r="BP31" s="198"/>
      <c r="BQ31" s="198"/>
    </row>
    <row r="32" spans="1:70" ht="16.5" customHeight="1">
      <c r="A32" s="110" t="s">
        <v>103</v>
      </c>
      <c r="C32" s="131">
        <v>-810455055</v>
      </c>
      <c r="D32" s="130">
        <f>AB32</f>
        <v>-558368320.25</v>
      </c>
      <c r="E32" s="130">
        <f>BL32</f>
        <v>-86767717.35</v>
      </c>
      <c r="F32" s="130">
        <f>SUM(C32:E32)</f>
        <v>-1455591092.6</v>
      </c>
      <c r="G32" s="130">
        <f>'Con P&amp;L Journals'!E247</f>
        <v>235451488</v>
      </c>
      <c r="H32" s="130">
        <f>'Con P&amp;L Journals'!F247</f>
        <v>681720091.508</v>
      </c>
      <c r="I32" s="131">
        <f>F32-G32+H32</f>
        <v>-1009322489.0919999</v>
      </c>
      <c r="J32" s="122"/>
      <c r="K32" s="124"/>
      <c r="L32" s="110" t="s">
        <v>103</v>
      </c>
      <c r="M32" s="346">
        <f>7617728.4-816863</f>
        <v>6800865.4</v>
      </c>
      <c r="N32" s="636">
        <f>-26417602-1227675</f>
        <v>-27645277</v>
      </c>
      <c r="O32" s="350">
        <v>-77032010</v>
      </c>
      <c r="P32" s="350">
        <v>-17665733</v>
      </c>
      <c r="Q32" s="346">
        <f>-5268057-88724</f>
        <v>-5356781</v>
      </c>
      <c r="R32" s="350">
        <v>-6448662</v>
      </c>
      <c r="S32" s="350">
        <v>-212154168</v>
      </c>
      <c r="T32" s="130">
        <v>-495317.24</v>
      </c>
      <c r="U32" s="350">
        <v>-3866635</v>
      </c>
      <c r="V32" s="350">
        <v>182034.1</v>
      </c>
      <c r="W32" s="350">
        <v>-171380165</v>
      </c>
      <c r="X32" s="131">
        <v>-6515033.6</v>
      </c>
      <c r="Y32" s="350">
        <v>141311</v>
      </c>
      <c r="Z32" s="130">
        <f>AQ32</f>
        <v>-34687162.620000005</v>
      </c>
      <c r="AA32" s="130">
        <f>BC32</f>
        <v>-2245586.29</v>
      </c>
      <c r="AB32" s="130">
        <f>SUM(M32:AA32)</f>
        <v>-558368320.25</v>
      </c>
      <c r="AC32" s="110"/>
      <c r="AD32" s="128" t="s">
        <v>103</v>
      </c>
      <c r="AE32" s="131">
        <v>-174166.55</v>
      </c>
      <c r="AF32" s="130">
        <v>-13805.7</v>
      </c>
      <c r="AG32" s="350">
        <v>-6781742.1</v>
      </c>
      <c r="AH32" s="350">
        <v>-9014807.8</v>
      </c>
      <c r="AI32" s="130">
        <v>-4800</v>
      </c>
      <c r="AJ32" s="130">
        <v>-4800</v>
      </c>
      <c r="AK32" s="130">
        <v>-10642.5</v>
      </c>
      <c r="AL32" s="130">
        <v>-10642.5</v>
      </c>
      <c r="AM32" s="350">
        <v>-1634092.4</v>
      </c>
      <c r="AN32" s="130">
        <f>-2033505.43-15235</f>
        <v>-2048740.43</v>
      </c>
      <c r="AO32" s="130">
        <v>-986637.53</v>
      </c>
      <c r="AP32" s="350">
        <v>-14002285.11</v>
      </c>
      <c r="AQ32" s="130">
        <f>SUM(AE32:AP32)</f>
        <v>-34687162.620000005</v>
      </c>
      <c r="AR32" s="121"/>
      <c r="AS32" s="110" t="s">
        <v>103</v>
      </c>
      <c r="AT32" s="131">
        <v>-19160.53</v>
      </c>
      <c r="AU32" s="130">
        <v>0</v>
      </c>
      <c r="AV32" s="130">
        <v>-1511462.7</v>
      </c>
      <c r="AW32" s="130">
        <v>-10460.9</v>
      </c>
      <c r="AX32" s="130">
        <f>-40669.5</f>
        <v>-40669.5</v>
      </c>
      <c r="AY32" s="130">
        <v>-595593</v>
      </c>
      <c r="AZ32" s="130">
        <v>-7472</v>
      </c>
      <c r="BA32" s="130">
        <v>-7872</v>
      </c>
      <c r="BB32" s="350">
        <v>-52895.66</v>
      </c>
      <c r="BC32" s="130">
        <f>SUM(AT32:BB32)</f>
        <v>-2245586.29</v>
      </c>
      <c r="BD32" s="110"/>
      <c r="BE32" s="641"/>
      <c r="BF32" s="110" t="s">
        <v>103</v>
      </c>
      <c r="BG32" s="131">
        <v>-13199008.97</v>
      </c>
      <c r="BH32" s="350">
        <f>-16968890.5+380892.4</f>
        <v>-16587998.1</v>
      </c>
      <c r="BI32" s="131">
        <v>-56980710.28</v>
      </c>
      <c r="BJ32" s="131">
        <v>0</v>
      </c>
      <c r="BK32" s="130">
        <v>0</v>
      </c>
      <c r="BL32" s="130">
        <f>SUM(BG32:BK32)</f>
        <v>-86767717.35</v>
      </c>
      <c r="BM32" s="121"/>
      <c r="BN32" s="121"/>
      <c r="BO32" s="110" t="s">
        <v>103</v>
      </c>
      <c r="BP32" s="131">
        <v>-30030000</v>
      </c>
      <c r="BQ32" s="131">
        <f>BP32*$BR$2</f>
        <v>-62853887.2962</v>
      </c>
      <c r="BR32" s="308"/>
    </row>
    <row r="33" spans="1:69" ht="16.5" customHeight="1">
      <c r="A33" s="122"/>
      <c r="C33" s="128">
        <f>C30+C32</f>
        <v>-818119674</v>
      </c>
      <c r="D33" s="129">
        <f aca="true" t="shared" si="23" ref="D33:I33">D30+D32</f>
        <v>-563616612.502</v>
      </c>
      <c r="E33" s="129">
        <f t="shared" si="23"/>
        <v>-88500920.08999999</v>
      </c>
      <c r="F33" s="129">
        <f t="shared" si="23"/>
        <v>-1470237206.592</v>
      </c>
      <c r="G33" s="129">
        <f t="shared" si="23"/>
        <v>247974489</v>
      </c>
      <c r="H33" s="129">
        <f t="shared" si="23"/>
        <v>681720091.508</v>
      </c>
      <c r="I33" s="128">
        <f t="shared" si="23"/>
        <v>-1036491604.0839999</v>
      </c>
      <c r="J33" s="378"/>
      <c r="K33" s="124"/>
      <c r="L33" s="122"/>
      <c r="M33" s="128">
        <f aca="true" t="shared" si="24" ref="M33:AB33">M30+M32</f>
        <v>7164691.048</v>
      </c>
      <c r="N33" s="129">
        <f t="shared" si="24"/>
        <v>-27043353.4</v>
      </c>
      <c r="O33" s="129">
        <f t="shared" si="24"/>
        <v>-78488262</v>
      </c>
      <c r="P33" s="129">
        <f>P30+P32</f>
        <v>-17716275</v>
      </c>
      <c r="Q33" s="128">
        <f t="shared" si="24"/>
        <v>-5332944</v>
      </c>
      <c r="R33" s="129">
        <f t="shared" si="24"/>
        <v>-6662917</v>
      </c>
      <c r="S33" s="129">
        <f t="shared" si="24"/>
        <v>-215294075</v>
      </c>
      <c r="T33" s="129">
        <f t="shared" si="24"/>
        <v>-502783.74</v>
      </c>
      <c r="U33" s="129">
        <f>U30+U32</f>
        <v>-3866635</v>
      </c>
      <c r="V33" s="129">
        <f t="shared" si="24"/>
        <v>17508.050000000017</v>
      </c>
      <c r="W33" s="129">
        <f t="shared" si="24"/>
        <v>-172553618</v>
      </c>
      <c r="X33" s="128">
        <f>X30+X32</f>
        <v>-6515033.6</v>
      </c>
      <c r="Y33" s="129">
        <f t="shared" si="24"/>
        <v>141311</v>
      </c>
      <c r="Z33" s="129">
        <f t="shared" si="24"/>
        <v>-34717839.57000001</v>
      </c>
      <c r="AA33" s="129">
        <f t="shared" si="24"/>
        <v>-2246386.29</v>
      </c>
      <c r="AB33" s="129">
        <f t="shared" si="24"/>
        <v>-563616612.502</v>
      </c>
      <c r="AC33" s="110"/>
      <c r="AD33" s="123"/>
      <c r="AE33" s="128">
        <f aca="true" t="shared" si="25" ref="AE33:AQ33">AE30+AE32</f>
        <v>-174166.55</v>
      </c>
      <c r="AF33" s="129">
        <f t="shared" si="25"/>
        <v>-13805.7</v>
      </c>
      <c r="AG33" s="129">
        <f t="shared" si="25"/>
        <v>-6781742.1</v>
      </c>
      <c r="AH33" s="129">
        <f t="shared" si="25"/>
        <v>-9015407.8</v>
      </c>
      <c r="AI33" s="129">
        <f>(AI30+AI32)</f>
        <v>-5200</v>
      </c>
      <c r="AJ33" s="129">
        <f>(AJ30+AJ32)</f>
        <v>-5200</v>
      </c>
      <c r="AK33" s="129">
        <f>(AK30+AK32)</f>
        <v>-10642.5</v>
      </c>
      <c r="AL33" s="129">
        <f>(AL30+AL32)</f>
        <v>-10642.5</v>
      </c>
      <c r="AM33" s="129">
        <f>AM30+AM32</f>
        <v>-1635542.0999999999</v>
      </c>
      <c r="AN33" s="129">
        <f t="shared" si="25"/>
        <v>-2076567.68</v>
      </c>
      <c r="AO33" s="129">
        <f t="shared" si="25"/>
        <v>-986637.53</v>
      </c>
      <c r="AP33" s="129">
        <f t="shared" si="25"/>
        <v>-14002285.11</v>
      </c>
      <c r="AQ33" s="129">
        <f t="shared" si="25"/>
        <v>-34717839.57000001</v>
      </c>
      <c r="AR33" s="119"/>
      <c r="AS33" s="122"/>
      <c r="AT33" s="128">
        <f aca="true" t="shared" si="26" ref="AT33:BC33">AT30+AT32</f>
        <v>-19160.53</v>
      </c>
      <c r="AU33" s="128">
        <f t="shared" si="26"/>
        <v>0</v>
      </c>
      <c r="AV33" s="129">
        <f t="shared" si="26"/>
        <v>-1511862.7</v>
      </c>
      <c r="AW33" s="129">
        <f t="shared" si="26"/>
        <v>-10860.9</v>
      </c>
      <c r="AX33" s="129">
        <f t="shared" si="26"/>
        <v>-40669.5</v>
      </c>
      <c r="AY33" s="129">
        <f t="shared" si="26"/>
        <v>-595593</v>
      </c>
      <c r="AZ33" s="129">
        <f t="shared" si="26"/>
        <v>-7472</v>
      </c>
      <c r="BA33" s="129">
        <f t="shared" si="26"/>
        <v>-7872</v>
      </c>
      <c r="BB33" s="129">
        <f t="shared" si="26"/>
        <v>-52895.66</v>
      </c>
      <c r="BC33" s="129">
        <f t="shared" si="26"/>
        <v>-2246386.29</v>
      </c>
      <c r="BD33" s="110"/>
      <c r="BE33" s="641"/>
      <c r="BF33" s="122"/>
      <c r="BG33" s="128">
        <f aca="true" t="shared" si="27" ref="BG33:BL33">BG30+BG32</f>
        <v>-13283904.620000001</v>
      </c>
      <c r="BH33" s="129">
        <f t="shared" si="27"/>
        <v>-16828327.1</v>
      </c>
      <c r="BI33" s="128">
        <f t="shared" si="27"/>
        <v>-58388688.370000005</v>
      </c>
      <c r="BJ33" s="128">
        <f t="shared" si="27"/>
        <v>0</v>
      </c>
      <c r="BK33" s="129">
        <f t="shared" si="27"/>
        <v>0</v>
      </c>
      <c r="BL33" s="129">
        <f t="shared" si="27"/>
        <v>-88500920.08999999</v>
      </c>
      <c r="BM33" s="121"/>
      <c r="BN33" s="121"/>
      <c r="BO33" s="122"/>
      <c r="BP33" s="128">
        <f>BP30+BP32</f>
        <v>-33778000</v>
      </c>
      <c r="BQ33" s="128">
        <f>BQ30+BQ32</f>
        <v>-70698588.24812</v>
      </c>
    </row>
    <row r="34" spans="1:69" ht="16.5" customHeight="1">
      <c r="A34" s="122"/>
      <c r="C34" s="123"/>
      <c r="D34" s="123"/>
      <c r="E34" s="123"/>
      <c r="F34" s="123"/>
      <c r="G34" s="123"/>
      <c r="H34" s="123"/>
      <c r="I34" s="123"/>
      <c r="J34" s="122"/>
      <c r="K34" s="124"/>
      <c r="L34" s="123">
        <f>L31-L32</f>
        <v>0</v>
      </c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2"/>
      <c r="BE34" s="124"/>
      <c r="BF34" s="123"/>
      <c r="BG34" s="123"/>
      <c r="BH34" s="123"/>
      <c r="BI34" s="123"/>
      <c r="BJ34" s="123">
        <f>BJ31-BJ32</f>
        <v>0</v>
      </c>
      <c r="BK34" s="123">
        <f>BK31-BK32</f>
        <v>0</v>
      </c>
      <c r="BL34" s="123">
        <f>BL31-BL32</f>
        <v>86767717.35</v>
      </c>
      <c r="BM34" s="125"/>
      <c r="BN34" s="125"/>
      <c r="BO34" s="122"/>
      <c r="BP34" s="123"/>
      <c r="BQ34" s="123"/>
    </row>
    <row r="35" spans="1:69" ht="16.5" customHeight="1">
      <c r="A35" s="110" t="s">
        <v>524</v>
      </c>
      <c r="C35" s="123">
        <v>0</v>
      </c>
      <c r="D35" s="129">
        <f>AB35</f>
        <v>0</v>
      </c>
      <c r="E35" s="129">
        <f>BL35</f>
        <v>0</v>
      </c>
      <c r="F35" s="129">
        <f>SUM(C35:E35)</f>
        <v>0</v>
      </c>
      <c r="G35" s="129">
        <f>'Con P&amp;L Journals'!E254</f>
        <v>0</v>
      </c>
      <c r="H35" s="129">
        <f>'Con P&amp;L Journals'!F254</f>
        <v>0</v>
      </c>
      <c r="I35" s="128">
        <f>F35+G35-H35</f>
        <v>0</v>
      </c>
      <c r="J35" s="113"/>
      <c r="K35" s="113"/>
      <c r="L35" s="110" t="s">
        <v>524</v>
      </c>
      <c r="M35" s="123">
        <v>0</v>
      </c>
      <c r="N35" s="129">
        <v>0</v>
      </c>
      <c r="O35" s="129">
        <v>0</v>
      </c>
      <c r="P35" s="129">
        <v>0</v>
      </c>
      <c r="Q35" s="123">
        <v>0</v>
      </c>
      <c r="R35" s="129">
        <v>0</v>
      </c>
      <c r="S35" s="129"/>
      <c r="T35" s="129"/>
      <c r="U35" s="129"/>
      <c r="V35" s="129">
        <v>0</v>
      </c>
      <c r="W35" s="129">
        <v>0</v>
      </c>
      <c r="X35" s="123"/>
      <c r="Y35" s="129">
        <v>0</v>
      </c>
      <c r="Z35" s="129">
        <f>AQ35</f>
        <v>0</v>
      </c>
      <c r="AA35" s="129">
        <f>BC35</f>
        <v>0</v>
      </c>
      <c r="AB35" s="129">
        <f>SUM(M35:AA35)</f>
        <v>0</v>
      </c>
      <c r="AC35" s="119"/>
      <c r="AD35" s="110" t="s">
        <v>524</v>
      </c>
      <c r="AE35" s="123"/>
      <c r="AF35" s="129"/>
      <c r="AG35" s="129"/>
      <c r="AH35" s="129"/>
      <c r="AI35" s="129"/>
      <c r="AJ35" s="129"/>
      <c r="AK35" s="129"/>
      <c r="AL35" s="129"/>
      <c r="AM35" s="129">
        <v>0</v>
      </c>
      <c r="AN35" s="129"/>
      <c r="AO35" s="129"/>
      <c r="AP35" s="129"/>
      <c r="AQ35" s="129">
        <f>SUM(AE35:AP35)</f>
        <v>0</v>
      </c>
      <c r="AR35" s="119"/>
      <c r="AS35" s="110" t="s">
        <v>524</v>
      </c>
      <c r="AT35" s="123"/>
      <c r="AU35" s="124"/>
      <c r="AV35" s="129"/>
      <c r="AW35" s="129"/>
      <c r="AX35" s="129"/>
      <c r="AY35" s="129"/>
      <c r="AZ35" s="129"/>
      <c r="BA35" s="129"/>
      <c r="BB35" s="129"/>
      <c r="BC35" s="129">
        <f>SUM(AT35:BB35)</f>
        <v>0</v>
      </c>
      <c r="BD35" s="110"/>
      <c r="BE35" s="641"/>
      <c r="BF35" s="110" t="s">
        <v>524</v>
      </c>
      <c r="BG35" s="123"/>
      <c r="BH35" s="129"/>
      <c r="BI35" s="123"/>
      <c r="BJ35" s="129"/>
      <c r="BK35" s="129"/>
      <c r="BL35" s="129">
        <f>SUM(BG35:BK35)</f>
        <v>0</v>
      </c>
      <c r="BM35" s="121"/>
      <c r="BN35" s="121"/>
      <c r="BO35" s="110" t="s">
        <v>524</v>
      </c>
      <c r="BP35" s="123"/>
      <c r="BQ35" s="123"/>
    </row>
    <row r="36" spans="1:69" s="90" customFormat="1" ht="16.5" customHeight="1">
      <c r="A36" s="116" t="s">
        <v>104</v>
      </c>
      <c r="C36" s="134">
        <f>C33-C35</f>
        <v>-818119674</v>
      </c>
      <c r="D36" s="135">
        <f>D33-D35</f>
        <v>-563616612.502</v>
      </c>
      <c r="E36" s="135">
        <f>E33-E35</f>
        <v>-88500920.08999999</v>
      </c>
      <c r="F36" s="135">
        <f>F33-F35</f>
        <v>-1470237206.592</v>
      </c>
      <c r="G36" s="135">
        <f>G33+G35</f>
        <v>247974489</v>
      </c>
      <c r="H36" s="135">
        <f>H33+H35</f>
        <v>681720091.508</v>
      </c>
      <c r="I36" s="134">
        <f>I33-I35</f>
        <v>-1036491604.0839999</v>
      </c>
      <c r="J36" s="113"/>
      <c r="K36" s="113"/>
      <c r="L36" s="116" t="s">
        <v>104</v>
      </c>
      <c r="M36" s="134">
        <f aca="true" t="shared" si="28" ref="M36:AB36">M33-M35</f>
        <v>7164691.048</v>
      </c>
      <c r="N36" s="135">
        <f t="shared" si="28"/>
        <v>-27043353.4</v>
      </c>
      <c r="O36" s="135">
        <f t="shared" si="28"/>
        <v>-78488262</v>
      </c>
      <c r="P36" s="135">
        <f>P33-P35</f>
        <v>-17716275</v>
      </c>
      <c r="Q36" s="134">
        <f t="shared" si="28"/>
        <v>-5332944</v>
      </c>
      <c r="R36" s="135">
        <f t="shared" si="28"/>
        <v>-6662917</v>
      </c>
      <c r="S36" s="135">
        <f t="shared" si="28"/>
        <v>-215294075</v>
      </c>
      <c r="T36" s="135">
        <f t="shared" si="28"/>
        <v>-502783.74</v>
      </c>
      <c r="U36" s="135">
        <f>U33-U35</f>
        <v>-3866635</v>
      </c>
      <c r="V36" s="135">
        <f t="shared" si="28"/>
        <v>17508.050000000017</v>
      </c>
      <c r="W36" s="135">
        <f t="shared" si="28"/>
        <v>-172553618</v>
      </c>
      <c r="X36" s="134">
        <f>X33-X35</f>
        <v>-6515033.6</v>
      </c>
      <c r="Y36" s="135">
        <f t="shared" si="28"/>
        <v>141311</v>
      </c>
      <c r="Z36" s="135">
        <f t="shared" si="28"/>
        <v>-34717839.57000001</v>
      </c>
      <c r="AA36" s="135">
        <f t="shared" si="28"/>
        <v>-2246386.29</v>
      </c>
      <c r="AB36" s="135">
        <f t="shared" si="28"/>
        <v>-563616612.502</v>
      </c>
      <c r="AC36" s="119"/>
      <c r="AD36" s="116" t="s">
        <v>104</v>
      </c>
      <c r="AE36" s="134">
        <f aca="true" t="shared" si="29" ref="AE36:AQ36">AE33-AE35</f>
        <v>-174166.55</v>
      </c>
      <c r="AF36" s="135">
        <f t="shared" si="29"/>
        <v>-13805.7</v>
      </c>
      <c r="AG36" s="135">
        <f t="shared" si="29"/>
        <v>-6781742.1</v>
      </c>
      <c r="AH36" s="135">
        <f t="shared" si="29"/>
        <v>-9015407.8</v>
      </c>
      <c r="AI36" s="135">
        <f t="shared" si="29"/>
        <v>-5200</v>
      </c>
      <c r="AJ36" s="135">
        <f t="shared" si="29"/>
        <v>-5200</v>
      </c>
      <c r="AK36" s="135">
        <f t="shared" si="29"/>
        <v>-10642.5</v>
      </c>
      <c r="AL36" s="135">
        <f t="shared" si="29"/>
        <v>-10642.5</v>
      </c>
      <c r="AM36" s="135">
        <f>AM33-AM35</f>
        <v>-1635542.0999999999</v>
      </c>
      <c r="AN36" s="135">
        <f t="shared" si="29"/>
        <v>-2076567.68</v>
      </c>
      <c r="AO36" s="135">
        <f t="shared" si="29"/>
        <v>-986637.53</v>
      </c>
      <c r="AP36" s="135">
        <f t="shared" si="29"/>
        <v>-14002285.11</v>
      </c>
      <c r="AQ36" s="135">
        <f t="shared" si="29"/>
        <v>-34717839.57000001</v>
      </c>
      <c r="AR36" s="119"/>
      <c r="AS36" s="116" t="s">
        <v>104</v>
      </c>
      <c r="AT36" s="134">
        <f aca="true" t="shared" si="30" ref="AT36:BC36">AT33-AT35</f>
        <v>-19160.53</v>
      </c>
      <c r="AU36" s="134">
        <f t="shared" si="30"/>
        <v>0</v>
      </c>
      <c r="AV36" s="135">
        <f t="shared" si="30"/>
        <v>-1511862.7</v>
      </c>
      <c r="AW36" s="135">
        <f t="shared" si="30"/>
        <v>-10860.9</v>
      </c>
      <c r="AX36" s="135">
        <f t="shared" si="30"/>
        <v>-40669.5</v>
      </c>
      <c r="AY36" s="135">
        <f t="shared" si="30"/>
        <v>-595593</v>
      </c>
      <c r="AZ36" s="135">
        <f t="shared" si="30"/>
        <v>-7472</v>
      </c>
      <c r="BA36" s="135">
        <f t="shared" si="30"/>
        <v>-7872</v>
      </c>
      <c r="BB36" s="135">
        <f t="shared" si="30"/>
        <v>-52895.66</v>
      </c>
      <c r="BC36" s="135">
        <f t="shared" si="30"/>
        <v>-2246386.29</v>
      </c>
      <c r="BD36" s="110"/>
      <c r="BE36" s="641"/>
      <c r="BF36" s="116" t="s">
        <v>104</v>
      </c>
      <c r="BG36" s="134">
        <f aca="true" t="shared" si="31" ref="BG36:BL36">BG33-BG35</f>
        <v>-13283904.620000001</v>
      </c>
      <c r="BH36" s="135">
        <f t="shared" si="31"/>
        <v>-16828327.1</v>
      </c>
      <c r="BI36" s="134">
        <f t="shared" si="31"/>
        <v>-58388688.370000005</v>
      </c>
      <c r="BJ36" s="135">
        <f t="shared" si="31"/>
        <v>0</v>
      </c>
      <c r="BK36" s="135">
        <f t="shared" si="31"/>
        <v>0</v>
      </c>
      <c r="BL36" s="135">
        <f t="shared" si="31"/>
        <v>-88500920.08999999</v>
      </c>
      <c r="BM36" s="121"/>
      <c r="BN36" s="121"/>
      <c r="BO36" s="116" t="s">
        <v>104</v>
      </c>
      <c r="BP36" s="134">
        <f>BP33-BP35</f>
        <v>-33778000</v>
      </c>
      <c r="BQ36" s="134">
        <f>BQ33-BQ35</f>
        <v>-70698588.24812</v>
      </c>
    </row>
    <row r="37" spans="1:69" ht="16.5" customHeight="1">
      <c r="A37" s="110" t="s">
        <v>525</v>
      </c>
      <c r="C37" s="123"/>
      <c r="D37" s="129"/>
      <c r="E37" s="129"/>
      <c r="F37" s="124"/>
      <c r="G37" s="124"/>
      <c r="H37" s="124"/>
      <c r="I37" s="123"/>
      <c r="J37" s="113"/>
      <c r="K37" s="113"/>
      <c r="L37" s="110" t="s">
        <v>525</v>
      </c>
      <c r="M37" s="123"/>
      <c r="N37" s="129"/>
      <c r="O37" s="124"/>
      <c r="P37" s="124"/>
      <c r="Q37" s="123"/>
      <c r="R37" s="124"/>
      <c r="S37" s="124"/>
      <c r="T37" s="124"/>
      <c r="U37" s="124"/>
      <c r="V37" s="124"/>
      <c r="W37" s="124"/>
      <c r="X37" s="123"/>
      <c r="Y37" s="124"/>
      <c r="Z37" s="124"/>
      <c r="AA37" s="124"/>
      <c r="AB37" s="124"/>
      <c r="AC37" s="113"/>
      <c r="AD37" s="110" t="s">
        <v>525</v>
      </c>
      <c r="AE37" s="123"/>
      <c r="AF37" s="129"/>
      <c r="AG37" s="129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13"/>
      <c r="AS37" s="110" t="s">
        <v>525</v>
      </c>
      <c r="AT37" s="123"/>
      <c r="AU37" s="123"/>
      <c r="AV37" s="124"/>
      <c r="AW37" s="124"/>
      <c r="AX37" s="124"/>
      <c r="AY37" s="124"/>
      <c r="AZ37" s="124"/>
      <c r="BA37" s="124"/>
      <c r="BB37" s="124"/>
      <c r="BC37" s="124"/>
      <c r="BD37" s="113"/>
      <c r="BE37" s="200"/>
      <c r="BF37" s="110" t="s">
        <v>525</v>
      </c>
      <c r="BG37" s="123"/>
      <c r="BH37" s="124"/>
      <c r="BI37" s="123"/>
      <c r="BJ37" s="129"/>
      <c r="BK37" s="124"/>
      <c r="BL37" s="124"/>
      <c r="BM37" s="125"/>
      <c r="BN37" s="125"/>
      <c r="BO37" s="110" t="s">
        <v>525</v>
      </c>
      <c r="BP37" s="123"/>
      <c r="BQ37" s="123"/>
    </row>
    <row r="38" spans="1:69" ht="16.5" customHeight="1">
      <c r="A38" s="110" t="s">
        <v>526</v>
      </c>
      <c r="C38" s="123"/>
      <c r="D38" s="129">
        <f>AB38</f>
        <v>0</v>
      </c>
      <c r="E38" s="129">
        <f>BL38</f>
        <v>0</v>
      </c>
      <c r="F38" s="129">
        <f>SUM(C38:E38)</f>
        <v>0</v>
      </c>
      <c r="G38" s="124"/>
      <c r="H38" s="124"/>
      <c r="I38" s="128">
        <f>F38+G38-H38</f>
        <v>0</v>
      </c>
      <c r="J38" s="113"/>
      <c r="K38" s="113"/>
      <c r="L38" s="110" t="s">
        <v>526</v>
      </c>
      <c r="M38" s="123"/>
      <c r="N38" s="129"/>
      <c r="O38" s="129"/>
      <c r="P38" s="129"/>
      <c r="Q38" s="123"/>
      <c r="R38" s="129"/>
      <c r="S38" s="129"/>
      <c r="T38" s="129"/>
      <c r="U38" s="129"/>
      <c r="V38" s="129">
        <v>0</v>
      </c>
      <c r="W38" s="129"/>
      <c r="X38" s="123"/>
      <c r="Y38" s="129"/>
      <c r="Z38" s="129">
        <f>AQ38</f>
        <v>0</v>
      </c>
      <c r="AA38" s="129">
        <f>BC38</f>
        <v>0</v>
      </c>
      <c r="AB38" s="129">
        <f>SUM(M38:AA38)</f>
        <v>0</v>
      </c>
      <c r="AC38" s="119"/>
      <c r="AD38" s="110" t="s">
        <v>526</v>
      </c>
      <c r="AE38" s="123"/>
      <c r="AF38" s="129"/>
      <c r="AG38" s="129"/>
      <c r="AH38" s="129"/>
      <c r="AI38" s="124"/>
      <c r="AJ38" s="129"/>
      <c r="AK38" s="129"/>
      <c r="AL38" s="129"/>
      <c r="AM38" s="129"/>
      <c r="AN38" s="129"/>
      <c r="AO38" s="129"/>
      <c r="AP38" s="129"/>
      <c r="AQ38" s="129">
        <f>SUM(AE38:AP38)</f>
        <v>0</v>
      </c>
      <c r="AR38" s="119"/>
      <c r="AS38" s="110" t="s">
        <v>526</v>
      </c>
      <c r="AT38" s="123"/>
      <c r="AU38" s="123"/>
      <c r="AV38" s="129"/>
      <c r="AW38" s="129"/>
      <c r="AX38" s="129"/>
      <c r="AY38" s="129"/>
      <c r="AZ38" s="129"/>
      <c r="BA38" s="129"/>
      <c r="BB38" s="129"/>
      <c r="BC38" s="129">
        <f>SUM(AT38:BB38)</f>
        <v>0</v>
      </c>
      <c r="BD38" s="119"/>
      <c r="BE38" s="200"/>
      <c r="BF38" s="110" t="s">
        <v>526</v>
      </c>
      <c r="BG38" s="123"/>
      <c r="BH38" s="129"/>
      <c r="BI38" s="123"/>
      <c r="BJ38" s="129"/>
      <c r="BK38" s="129"/>
      <c r="BL38" s="129"/>
      <c r="BM38" s="121"/>
      <c r="BN38" s="121"/>
      <c r="BO38" s="110" t="s">
        <v>526</v>
      </c>
      <c r="BP38" s="123"/>
      <c r="BQ38" s="123"/>
    </row>
    <row r="39" spans="1:69" ht="16.5" customHeight="1">
      <c r="A39" s="110" t="s">
        <v>527</v>
      </c>
      <c r="C39" s="123"/>
      <c r="D39" s="129">
        <f>AB39</f>
        <v>0</v>
      </c>
      <c r="E39" s="129">
        <f>BL39</f>
        <v>0</v>
      </c>
      <c r="F39" s="129">
        <f>SUM(C39:E39)</f>
        <v>0</v>
      </c>
      <c r="G39" s="124"/>
      <c r="H39" s="124"/>
      <c r="I39" s="128">
        <f>F39+G39-H39</f>
        <v>0</v>
      </c>
      <c r="J39" s="113"/>
      <c r="K39" s="113"/>
      <c r="L39" s="110" t="s">
        <v>527</v>
      </c>
      <c r="M39" s="123"/>
      <c r="N39" s="129"/>
      <c r="O39" s="129"/>
      <c r="P39" s="129"/>
      <c r="Q39" s="123"/>
      <c r="R39" s="129"/>
      <c r="S39" s="129"/>
      <c r="T39" s="129"/>
      <c r="U39" s="129"/>
      <c r="V39" s="129"/>
      <c r="W39" s="129"/>
      <c r="X39" s="123"/>
      <c r="Y39" s="129"/>
      <c r="Z39" s="129">
        <f>AQ39</f>
        <v>0</v>
      </c>
      <c r="AA39" s="129">
        <f>BC39</f>
        <v>0</v>
      </c>
      <c r="AB39" s="129">
        <f>SUM(M39:AA39)</f>
        <v>0</v>
      </c>
      <c r="AC39" s="119"/>
      <c r="AD39" s="110" t="s">
        <v>527</v>
      </c>
      <c r="AE39" s="123"/>
      <c r="AF39" s="129"/>
      <c r="AG39" s="129"/>
      <c r="AH39" s="129"/>
      <c r="AI39" s="124"/>
      <c r="AJ39" s="129"/>
      <c r="AK39" s="129"/>
      <c r="AL39" s="129"/>
      <c r="AM39" s="129"/>
      <c r="AN39" s="129"/>
      <c r="AO39" s="129"/>
      <c r="AP39" s="129"/>
      <c r="AQ39" s="129">
        <f>SUM(AE39:AP39)</f>
        <v>0</v>
      </c>
      <c r="AR39" s="119"/>
      <c r="AS39" s="110" t="s">
        <v>527</v>
      </c>
      <c r="AT39" s="123"/>
      <c r="AU39" s="123"/>
      <c r="AV39" s="129"/>
      <c r="AW39" s="129"/>
      <c r="AX39" s="129"/>
      <c r="AY39" s="129"/>
      <c r="AZ39" s="129"/>
      <c r="BA39" s="129"/>
      <c r="BB39" s="129"/>
      <c r="BC39" s="129">
        <f>SUM(AT39:BB39)</f>
        <v>0</v>
      </c>
      <c r="BD39" s="119"/>
      <c r="BE39" s="200"/>
      <c r="BF39" s="110" t="s">
        <v>527</v>
      </c>
      <c r="BG39" s="123"/>
      <c r="BH39" s="129"/>
      <c r="BI39" s="123"/>
      <c r="BJ39" s="129"/>
      <c r="BK39" s="129"/>
      <c r="BL39" s="129"/>
      <c r="BM39" s="121"/>
      <c r="BN39" s="121"/>
      <c r="BO39" s="110" t="s">
        <v>527</v>
      </c>
      <c r="BP39" s="123"/>
      <c r="BQ39" s="123"/>
    </row>
    <row r="40" spans="1:69" ht="16.5" customHeight="1">
      <c r="A40" s="110" t="s">
        <v>535</v>
      </c>
      <c r="C40" s="123"/>
      <c r="D40" s="129">
        <f>AB40</f>
        <v>0</v>
      </c>
      <c r="E40" s="129">
        <f>BL40</f>
        <v>0</v>
      </c>
      <c r="F40" s="129">
        <f>SUM(C40:E40)</f>
        <v>0</v>
      </c>
      <c r="G40" s="129">
        <f>'Con P&amp;L Journals'!E261</f>
        <v>0</v>
      </c>
      <c r="H40" s="129">
        <f>'Con P&amp;L Journals'!F261</f>
        <v>0</v>
      </c>
      <c r="I40" s="128">
        <f>F40+G40-H40</f>
        <v>0</v>
      </c>
      <c r="J40" s="113"/>
      <c r="K40" s="113"/>
      <c r="L40" s="110" t="s">
        <v>535</v>
      </c>
      <c r="M40" s="123"/>
      <c r="N40" s="129"/>
      <c r="O40" s="129"/>
      <c r="P40" s="129"/>
      <c r="Q40" s="123"/>
      <c r="R40" s="129"/>
      <c r="S40" s="129"/>
      <c r="T40" s="129"/>
      <c r="U40" s="129"/>
      <c r="V40" s="129">
        <v>0</v>
      </c>
      <c r="W40" s="129"/>
      <c r="X40" s="123"/>
      <c r="Y40" s="129"/>
      <c r="Z40" s="129">
        <f>AQ40</f>
        <v>0</v>
      </c>
      <c r="AA40" s="129">
        <f>BC40</f>
        <v>0</v>
      </c>
      <c r="AB40" s="129">
        <f>SUM(M40:AA40)</f>
        <v>0</v>
      </c>
      <c r="AC40" s="119"/>
      <c r="AD40" s="110" t="s">
        <v>535</v>
      </c>
      <c r="AE40" s="123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>
        <f>SUM(AE40:AP40)</f>
        <v>0</v>
      </c>
      <c r="AR40" s="119"/>
      <c r="AS40" s="110" t="s">
        <v>535</v>
      </c>
      <c r="AT40" s="123"/>
      <c r="AU40" s="123"/>
      <c r="AV40" s="129"/>
      <c r="AW40" s="129"/>
      <c r="AX40" s="129"/>
      <c r="AY40" s="129"/>
      <c r="AZ40" s="129"/>
      <c r="BA40" s="129"/>
      <c r="BB40" s="129"/>
      <c r="BC40" s="129">
        <f>SUM(AT40:BB40)</f>
        <v>0</v>
      </c>
      <c r="BD40" s="119"/>
      <c r="BE40" s="200"/>
      <c r="BF40" s="110" t="s">
        <v>535</v>
      </c>
      <c r="BG40" s="123"/>
      <c r="BH40" s="129"/>
      <c r="BI40" s="123"/>
      <c r="BJ40" s="129"/>
      <c r="BK40" s="129"/>
      <c r="BL40" s="129">
        <f>SUM(BG40:BK40)</f>
        <v>0</v>
      </c>
      <c r="BM40" s="121"/>
      <c r="BN40" s="121"/>
      <c r="BO40" s="110" t="s">
        <v>535</v>
      </c>
      <c r="BP40" s="123"/>
      <c r="BQ40" s="123"/>
    </row>
    <row r="41" spans="1:69" s="136" customFormat="1" ht="16.5" customHeight="1">
      <c r="A41" s="110" t="s">
        <v>536</v>
      </c>
      <c r="C41" s="134">
        <f aca="true" t="shared" si="32" ref="C41:H41">SUM(C37:C40)</f>
        <v>0</v>
      </c>
      <c r="D41" s="135">
        <f t="shared" si="32"/>
        <v>0</v>
      </c>
      <c r="E41" s="135">
        <f t="shared" si="32"/>
        <v>0</v>
      </c>
      <c r="F41" s="135">
        <f t="shared" si="32"/>
        <v>0</v>
      </c>
      <c r="G41" s="135">
        <f t="shared" si="32"/>
        <v>0</v>
      </c>
      <c r="H41" s="135">
        <f t="shared" si="32"/>
        <v>0</v>
      </c>
      <c r="I41" s="134">
        <f>SUM(I38:I40)</f>
        <v>0</v>
      </c>
      <c r="J41" s="121"/>
      <c r="K41" s="125"/>
      <c r="L41" s="110" t="s">
        <v>536</v>
      </c>
      <c r="M41" s="134">
        <f aca="true" t="shared" si="33" ref="M41:AB41">SUM(M37:M40)</f>
        <v>0</v>
      </c>
      <c r="N41" s="135">
        <f t="shared" si="33"/>
        <v>0</v>
      </c>
      <c r="O41" s="135">
        <f t="shared" si="33"/>
        <v>0</v>
      </c>
      <c r="P41" s="135">
        <f>SUM(P37:P40)</f>
        <v>0</v>
      </c>
      <c r="Q41" s="134">
        <f>SUM(Q37:Q40)</f>
        <v>0</v>
      </c>
      <c r="R41" s="135">
        <f t="shared" si="33"/>
        <v>0</v>
      </c>
      <c r="S41" s="135"/>
      <c r="T41" s="135">
        <f t="shared" si="33"/>
        <v>0</v>
      </c>
      <c r="U41" s="135">
        <f>SUM(U37:U40)</f>
        <v>0</v>
      </c>
      <c r="V41" s="135">
        <f t="shared" si="33"/>
        <v>0</v>
      </c>
      <c r="W41" s="135">
        <f t="shared" si="33"/>
        <v>0</v>
      </c>
      <c r="X41" s="134"/>
      <c r="Y41" s="135">
        <f t="shared" si="33"/>
        <v>0</v>
      </c>
      <c r="Z41" s="135">
        <f t="shared" si="33"/>
        <v>0</v>
      </c>
      <c r="AA41" s="135">
        <f t="shared" si="33"/>
        <v>0</v>
      </c>
      <c r="AB41" s="135">
        <f t="shared" si="33"/>
        <v>0</v>
      </c>
      <c r="AC41" s="121"/>
      <c r="AD41" s="110" t="s">
        <v>536</v>
      </c>
      <c r="AE41" s="134">
        <f aca="true" t="shared" si="34" ref="AE41:AQ41">SUM(AE37:AE40)</f>
        <v>0</v>
      </c>
      <c r="AF41" s="135">
        <f t="shared" si="34"/>
        <v>0</v>
      </c>
      <c r="AG41" s="135">
        <f t="shared" si="34"/>
        <v>0</v>
      </c>
      <c r="AH41" s="135">
        <f t="shared" si="34"/>
        <v>0</v>
      </c>
      <c r="AI41" s="135">
        <f t="shared" si="34"/>
        <v>0</v>
      </c>
      <c r="AJ41" s="135">
        <f t="shared" si="34"/>
        <v>0</v>
      </c>
      <c r="AK41" s="135">
        <f t="shared" si="34"/>
        <v>0</v>
      </c>
      <c r="AL41" s="135">
        <f t="shared" si="34"/>
        <v>0</v>
      </c>
      <c r="AM41" s="135">
        <f>SUM(AM37:AM40)</f>
        <v>0</v>
      </c>
      <c r="AN41" s="135">
        <f t="shared" si="34"/>
        <v>0</v>
      </c>
      <c r="AO41" s="135">
        <f t="shared" si="34"/>
        <v>0</v>
      </c>
      <c r="AP41" s="135">
        <f t="shared" si="34"/>
        <v>0</v>
      </c>
      <c r="AQ41" s="135">
        <f t="shared" si="34"/>
        <v>0</v>
      </c>
      <c r="AR41" s="121"/>
      <c r="AS41" s="110" t="s">
        <v>536</v>
      </c>
      <c r="AT41" s="134">
        <f aca="true" t="shared" si="35" ref="AT41:BC41">SUM(AT37:AT40)</f>
        <v>0</v>
      </c>
      <c r="AU41" s="134">
        <f t="shared" si="35"/>
        <v>0</v>
      </c>
      <c r="AV41" s="135">
        <f t="shared" si="35"/>
        <v>0</v>
      </c>
      <c r="AW41" s="135">
        <f t="shared" si="35"/>
        <v>0</v>
      </c>
      <c r="AX41" s="135">
        <f t="shared" si="35"/>
        <v>0</v>
      </c>
      <c r="AY41" s="135">
        <f t="shared" si="35"/>
        <v>0</v>
      </c>
      <c r="AZ41" s="135">
        <f t="shared" si="35"/>
        <v>0</v>
      </c>
      <c r="BA41" s="135">
        <f t="shared" si="35"/>
        <v>0</v>
      </c>
      <c r="BB41" s="135">
        <f t="shared" si="35"/>
        <v>0</v>
      </c>
      <c r="BC41" s="135">
        <f t="shared" si="35"/>
        <v>0</v>
      </c>
      <c r="BD41" s="121"/>
      <c r="BE41" s="201"/>
      <c r="BF41" s="110" t="s">
        <v>536</v>
      </c>
      <c r="BG41" s="134">
        <f aca="true" t="shared" si="36" ref="BG41:BL41">SUM(BG37:BG40)</f>
        <v>0</v>
      </c>
      <c r="BH41" s="135">
        <f t="shared" si="36"/>
        <v>0</v>
      </c>
      <c r="BI41" s="134">
        <f t="shared" si="36"/>
        <v>0</v>
      </c>
      <c r="BJ41" s="135">
        <f t="shared" si="36"/>
        <v>0</v>
      </c>
      <c r="BK41" s="135">
        <f t="shared" si="36"/>
        <v>0</v>
      </c>
      <c r="BL41" s="135">
        <f t="shared" si="36"/>
        <v>0</v>
      </c>
      <c r="BM41" s="121"/>
      <c r="BN41" s="121"/>
      <c r="BO41" s="110" t="s">
        <v>536</v>
      </c>
      <c r="BP41" s="134">
        <f>SUM(BP37:BP40)</f>
        <v>0</v>
      </c>
      <c r="BQ41" s="134">
        <f>SUM(BQ37:BQ40)</f>
        <v>0</v>
      </c>
    </row>
    <row r="42" spans="1:69" ht="16.5" customHeight="1">
      <c r="A42" s="110"/>
      <c r="C42" s="123"/>
      <c r="D42" s="129"/>
      <c r="E42" s="129"/>
      <c r="F42" s="124"/>
      <c r="G42" s="124"/>
      <c r="H42" s="124"/>
      <c r="I42" s="123"/>
      <c r="J42" s="113"/>
      <c r="K42" s="113"/>
      <c r="L42" s="110"/>
      <c r="M42" s="123"/>
      <c r="N42" s="129"/>
      <c r="O42" s="124"/>
      <c r="P42" s="124"/>
      <c r="Q42" s="123"/>
      <c r="R42" s="124"/>
      <c r="S42" s="124"/>
      <c r="T42" s="124"/>
      <c r="U42" s="124"/>
      <c r="V42" s="124"/>
      <c r="W42" s="124"/>
      <c r="X42" s="123"/>
      <c r="Y42" s="124"/>
      <c r="Z42" s="124"/>
      <c r="AA42" s="124"/>
      <c r="AB42" s="124"/>
      <c r="AC42" s="113"/>
      <c r="AD42" s="110"/>
      <c r="AE42" s="123"/>
      <c r="AF42" s="129"/>
      <c r="AG42" s="129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3"/>
      <c r="AS42" s="110"/>
      <c r="AT42" s="123"/>
      <c r="AU42" s="123"/>
      <c r="AV42" s="124"/>
      <c r="AW42" s="124"/>
      <c r="AX42" s="124"/>
      <c r="AY42" s="124"/>
      <c r="AZ42" s="124"/>
      <c r="BA42" s="124"/>
      <c r="BB42" s="124"/>
      <c r="BC42" s="124"/>
      <c r="BD42" s="113"/>
      <c r="BE42" s="200"/>
      <c r="BF42" s="110"/>
      <c r="BG42" s="123"/>
      <c r="BH42" s="124"/>
      <c r="BI42" s="123"/>
      <c r="BJ42" s="129"/>
      <c r="BK42" s="124"/>
      <c r="BL42" s="124"/>
      <c r="BM42" s="125"/>
      <c r="BN42" s="125"/>
      <c r="BO42" s="110"/>
      <c r="BP42" s="123"/>
      <c r="BQ42" s="123"/>
    </row>
    <row r="43" spans="1:69" ht="16.5" customHeight="1">
      <c r="A43" s="116" t="s">
        <v>105</v>
      </c>
      <c r="C43" s="128">
        <f>C36-C41</f>
        <v>-818119674</v>
      </c>
      <c r="D43" s="129">
        <f>D36-D41</f>
        <v>-563616612.502</v>
      </c>
      <c r="E43" s="129">
        <f>E36-E41</f>
        <v>-88500920.08999999</v>
      </c>
      <c r="F43" s="129">
        <f>F36-F41</f>
        <v>-1470237206.592</v>
      </c>
      <c r="G43" s="129">
        <f>G36+G41</f>
        <v>247974489</v>
      </c>
      <c r="H43" s="129">
        <f>H36+H41</f>
        <v>681720091.508</v>
      </c>
      <c r="I43" s="128">
        <f>I36-I41</f>
        <v>-1036491604.0839999</v>
      </c>
      <c r="J43" s="119"/>
      <c r="K43" s="113"/>
      <c r="L43" s="116" t="s">
        <v>105</v>
      </c>
      <c r="M43" s="128">
        <f aca="true" t="shared" si="37" ref="M43:AB43">M36-M41</f>
        <v>7164691.048</v>
      </c>
      <c r="N43" s="129">
        <f t="shared" si="37"/>
        <v>-27043353.4</v>
      </c>
      <c r="O43" s="129">
        <f t="shared" si="37"/>
        <v>-78488262</v>
      </c>
      <c r="P43" s="129">
        <f>P36-P41</f>
        <v>-17716275</v>
      </c>
      <c r="Q43" s="128">
        <f>+Q36-Q41</f>
        <v>-5332944</v>
      </c>
      <c r="R43" s="129">
        <f t="shared" si="37"/>
        <v>-6662917</v>
      </c>
      <c r="S43" s="129">
        <f t="shared" si="37"/>
        <v>-215294075</v>
      </c>
      <c r="T43" s="129">
        <f t="shared" si="37"/>
        <v>-502783.74</v>
      </c>
      <c r="U43" s="129">
        <f>U36-U41</f>
        <v>-3866635</v>
      </c>
      <c r="V43" s="129">
        <f t="shared" si="37"/>
        <v>17508.050000000017</v>
      </c>
      <c r="W43" s="129">
        <f>W36-W41</f>
        <v>-172553618</v>
      </c>
      <c r="X43" s="128">
        <f>+X36-X41</f>
        <v>-6515033.6</v>
      </c>
      <c r="Y43" s="129">
        <f t="shared" si="37"/>
        <v>141311</v>
      </c>
      <c r="Z43" s="129">
        <f t="shared" si="37"/>
        <v>-34717839.57000001</v>
      </c>
      <c r="AA43" s="129">
        <f t="shared" si="37"/>
        <v>-2246386.29</v>
      </c>
      <c r="AB43" s="129">
        <f t="shared" si="37"/>
        <v>-563616612.502</v>
      </c>
      <c r="AC43" s="119"/>
      <c r="AD43" s="116" t="s">
        <v>105</v>
      </c>
      <c r="AE43" s="128">
        <f aca="true" t="shared" si="38" ref="AE43:AQ43">AE36-AE41</f>
        <v>-174166.55</v>
      </c>
      <c r="AF43" s="129">
        <f t="shared" si="38"/>
        <v>-13805.7</v>
      </c>
      <c r="AG43" s="129">
        <f t="shared" si="38"/>
        <v>-6781742.1</v>
      </c>
      <c r="AH43" s="129">
        <f t="shared" si="38"/>
        <v>-9015407.8</v>
      </c>
      <c r="AI43" s="129">
        <f t="shared" si="38"/>
        <v>-5200</v>
      </c>
      <c r="AJ43" s="129">
        <f t="shared" si="38"/>
        <v>-5200</v>
      </c>
      <c r="AK43" s="129">
        <f t="shared" si="38"/>
        <v>-10642.5</v>
      </c>
      <c r="AL43" s="129">
        <f t="shared" si="38"/>
        <v>-10642.5</v>
      </c>
      <c r="AM43" s="129">
        <f>AM36-AM41</f>
        <v>-1635542.0999999999</v>
      </c>
      <c r="AN43" s="129">
        <f>AN36-AN41</f>
        <v>-2076567.68</v>
      </c>
      <c r="AO43" s="129">
        <f>AO36-AO41</f>
        <v>-986637.53</v>
      </c>
      <c r="AP43" s="129">
        <f t="shared" si="38"/>
        <v>-14002285.11</v>
      </c>
      <c r="AQ43" s="129">
        <f t="shared" si="38"/>
        <v>-34717839.57000001</v>
      </c>
      <c r="AR43" s="119"/>
      <c r="AS43" s="116" t="s">
        <v>105</v>
      </c>
      <c r="AT43" s="128">
        <f aca="true" t="shared" si="39" ref="AT43:BC43">AT36-AT41</f>
        <v>-19160.53</v>
      </c>
      <c r="AU43" s="128">
        <f>AU36-AU41</f>
        <v>0</v>
      </c>
      <c r="AV43" s="129">
        <f t="shared" si="39"/>
        <v>-1511862.7</v>
      </c>
      <c r="AW43" s="129">
        <f t="shared" si="39"/>
        <v>-10860.9</v>
      </c>
      <c r="AX43" s="129">
        <f t="shared" si="39"/>
        <v>-40669.5</v>
      </c>
      <c r="AY43" s="129">
        <f t="shared" si="39"/>
        <v>-595593</v>
      </c>
      <c r="AZ43" s="129">
        <f t="shared" si="39"/>
        <v>-7472</v>
      </c>
      <c r="BA43" s="129">
        <f t="shared" si="39"/>
        <v>-7872</v>
      </c>
      <c r="BB43" s="129">
        <f t="shared" si="39"/>
        <v>-52895.66</v>
      </c>
      <c r="BC43" s="129">
        <f t="shared" si="39"/>
        <v>-2246386.29</v>
      </c>
      <c r="BD43" s="119"/>
      <c r="BE43" s="200"/>
      <c r="BF43" s="116" t="s">
        <v>105</v>
      </c>
      <c r="BG43" s="129">
        <f aca="true" t="shared" si="40" ref="BG43:BL43">BG36-BG41</f>
        <v>-13283904.620000001</v>
      </c>
      <c r="BH43" s="129">
        <f>BH36-BH41</f>
        <v>-16828327.1</v>
      </c>
      <c r="BI43" s="129">
        <f t="shared" si="40"/>
        <v>-58388688.370000005</v>
      </c>
      <c r="BJ43" s="129">
        <f t="shared" si="40"/>
        <v>0</v>
      </c>
      <c r="BK43" s="129">
        <f t="shared" si="40"/>
        <v>0</v>
      </c>
      <c r="BL43" s="129">
        <f t="shared" si="40"/>
        <v>-88500920.08999999</v>
      </c>
      <c r="BM43" s="121"/>
      <c r="BN43" s="121"/>
      <c r="BO43" s="116" t="s">
        <v>105</v>
      </c>
      <c r="BP43" s="128">
        <f>BP36-BP41</f>
        <v>-33778000</v>
      </c>
      <c r="BQ43" s="128">
        <f>BQ36-BQ41</f>
        <v>-70698588.24812</v>
      </c>
    </row>
    <row r="44" spans="1:69" ht="16.5" customHeight="1" thickBot="1">
      <c r="A44" s="110"/>
      <c r="C44" s="137"/>
      <c r="D44" s="138"/>
      <c r="E44" s="138"/>
      <c r="F44" s="138"/>
      <c r="G44" s="138"/>
      <c r="H44" s="138"/>
      <c r="I44" s="137"/>
      <c r="J44" s="119"/>
      <c r="K44" s="119"/>
      <c r="L44" s="110"/>
      <c r="M44" s="137"/>
      <c r="N44" s="138"/>
      <c r="O44" s="138"/>
      <c r="P44" s="138"/>
      <c r="Q44" s="137"/>
      <c r="R44" s="138"/>
      <c r="S44" s="138"/>
      <c r="T44" s="138"/>
      <c r="U44" s="138"/>
      <c r="V44" s="138"/>
      <c r="W44" s="138"/>
      <c r="X44" s="137"/>
      <c r="Y44" s="138"/>
      <c r="Z44" s="138"/>
      <c r="AA44" s="138"/>
      <c r="AB44" s="138"/>
      <c r="AC44" s="114"/>
      <c r="AD44" s="110"/>
      <c r="AE44" s="137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14"/>
      <c r="AS44" s="110"/>
      <c r="AT44" s="137"/>
      <c r="AU44" s="138"/>
      <c r="AV44" s="138"/>
      <c r="AW44" s="138"/>
      <c r="AX44" s="138"/>
      <c r="AY44" s="138"/>
      <c r="AZ44" s="138"/>
      <c r="BA44" s="138"/>
      <c r="BB44" s="138"/>
      <c r="BC44" s="138"/>
      <c r="BD44" s="114"/>
      <c r="BE44" s="347"/>
      <c r="BF44" s="128"/>
      <c r="BG44" s="137"/>
      <c r="BH44" s="138"/>
      <c r="BI44" s="137"/>
      <c r="BJ44" s="138"/>
      <c r="BK44" s="138"/>
      <c r="BL44" s="138"/>
      <c r="BM44" s="115"/>
      <c r="BN44" s="115"/>
      <c r="BO44" s="110"/>
      <c r="BP44" s="137"/>
      <c r="BQ44" s="137"/>
    </row>
    <row r="45" spans="1:69" ht="16.5" customHeight="1" thickTop="1">
      <c r="A45" s="110" t="s">
        <v>106</v>
      </c>
      <c r="C45" s="111"/>
      <c r="D45" s="112"/>
      <c r="E45" s="112"/>
      <c r="F45" s="112"/>
      <c r="G45" s="112"/>
      <c r="H45" s="112"/>
      <c r="I45" s="111"/>
      <c r="J45" s="119"/>
      <c r="K45" s="119"/>
      <c r="L45" s="110" t="s">
        <v>106</v>
      </c>
      <c r="M45" s="111"/>
      <c r="N45" s="112"/>
      <c r="O45" s="112"/>
      <c r="P45" s="112"/>
      <c r="Q45" s="111"/>
      <c r="R45" s="112"/>
      <c r="S45" s="112"/>
      <c r="T45" s="112"/>
      <c r="U45" s="112"/>
      <c r="V45" s="112"/>
      <c r="W45" s="112"/>
      <c r="X45" s="111"/>
      <c r="Y45" s="112"/>
      <c r="Z45" s="112"/>
      <c r="AA45" s="112"/>
      <c r="AB45" s="112"/>
      <c r="AC45" s="114"/>
      <c r="AD45" s="110" t="s">
        <v>106</v>
      </c>
      <c r="AE45" s="111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4"/>
      <c r="AS45" s="128" t="s">
        <v>106</v>
      </c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4"/>
      <c r="BE45" s="347"/>
      <c r="BF45" s="128" t="s">
        <v>106</v>
      </c>
      <c r="BG45" s="111"/>
      <c r="BH45" s="112"/>
      <c r="BI45" s="111"/>
      <c r="BJ45" s="112"/>
      <c r="BK45" s="112"/>
      <c r="BL45" s="112"/>
      <c r="BM45" s="115"/>
      <c r="BN45" s="115"/>
      <c r="BO45" s="110" t="s">
        <v>106</v>
      </c>
      <c r="BP45" s="111"/>
      <c r="BQ45" s="111"/>
    </row>
    <row r="46" spans="1:69" ht="16.5" customHeight="1">
      <c r="A46" s="110" t="s">
        <v>107</v>
      </c>
      <c r="C46" s="123"/>
      <c r="D46" s="129"/>
      <c r="E46" s="129"/>
      <c r="F46" s="124"/>
      <c r="G46" s="124"/>
      <c r="H46" s="124"/>
      <c r="I46" s="128">
        <f>C43</f>
        <v>-818119674</v>
      </c>
      <c r="J46" s="113"/>
      <c r="K46" s="113"/>
      <c r="L46" s="110" t="s">
        <v>107</v>
      </c>
      <c r="M46" s="123"/>
      <c r="N46" s="129"/>
      <c r="O46" s="129"/>
      <c r="P46" s="129"/>
      <c r="Q46" s="123">
        <f>+Q49-Q47-Q48</f>
        <v>-5332944</v>
      </c>
      <c r="R46" s="129"/>
      <c r="S46" s="129"/>
      <c r="T46" s="129"/>
      <c r="U46" s="129"/>
      <c r="V46" s="129"/>
      <c r="W46" s="129"/>
      <c r="X46" s="123">
        <f>+X49-X47-X48</f>
        <v>-6515033.6</v>
      </c>
      <c r="Y46" s="129"/>
      <c r="Z46" s="129"/>
      <c r="AA46" s="129"/>
      <c r="AB46" s="129"/>
      <c r="AC46" s="113"/>
      <c r="AD46" s="110" t="s">
        <v>107</v>
      </c>
      <c r="AE46" s="123"/>
      <c r="AF46" s="129"/>
      <c r="AG46" s="129"/>
      <c r="AH46" s="124"/>
      <c r="AI46" s="124"/>
      <c r="AJ46" s="129"/>
      <c r="AK46" s="129"/>
      <c r="AL46" s="129"/>
      <c r="AM46" s="124"/>
      <c r="AN46" s="129"/>
      <c r="AO46" s="129"/>
      <c r="AP46" s="129"/>
      <c r="AQ46" s="129"/>
      <c r="AR46" s="113"/>
      <c r="AS46" s="128" t="s">
        <v>107</v>
      </c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13"/>
      <c r="BE46" s="200"/>
      <c r="BF46" s="128" t="s">
        <v>107</v>
      </c>
      <c r="BG46" s="123"/>
      <c r="BH46" s="129">
        <f>BH49-BH48</f>
        <v>-16828327.1</v>
      </c>
      <c r="BI46" s="123"/>
      <c r="BJ46" s="129">
        <f>BJ49-BJ48</f>
        <v>0</v>
      </c>
      <c r="BK46" s="129"/>
      <c r="BL46" s="129"/>
      <c r="BM46" s="121"/>
      <c r="BN46" s="121"/>
      <c r="BO46" s="110" t="s">
        <v>107</v>
      </c>
      <c r="BP46" s="123"/>
      <c r="BQ46" s="123"/>
    </row>
    <row r="47" spans="1:69" ht="16.5" customHeight="1">
      <c r="A47" s="110" t="s">
        <v>108</v>
      </c>
      <c r="C47" s="123"/>
      <c r="D47" s="129"/>
      <c r="E47" s="129"/>
      <c r="F47" s="124"/>
      <c r="G47" s="124"/>
      <c r="H47" s="124"/>
      <c r="I47" s="128" t="e">
        <f>I43-I46-I48</f>
        <v>#REF!</v>
      </c>
      <c r="J47" s="113"/>
      <c r="K47" s="113"/>
      <c r="L47" s="110" t="s">
        <v>108</v>
      </c>
      <c r="M47" s="123"/>
      <c r="N47" s="129"/>
      <c r="O47" s="129"/>
      <c r="P47" s="129"/>
      <c r="Q47" s="123">
        <v>0</v>
      </c>
      <c r="R47" s="129"/>
      <c r="S47" s="129"/>
      <c r="T47" s="129"/>
      <c r="U47" s="129"/>
      <c r="V47" s="129"/>
      <c r="W47" s="129"/>
      <c r="X47" s="123">
        <v>0</v>
      </c>
      <c r="Y47" s="129"/>
      <c r="Z47" s="129"/>
      <c r="AA47" s="129"/>
      <c r="AB47" s="129"/>
      <c r="AC47" s="113"/>
      <c r="AD47" s="110" t="s">
        <v>108</v>
      </c>
      <c r="AE47" s="123"/>
      <c r="AF47" s="129"/>
      <c r="AG47" s="129"/>
      <c r="AH47" s="124"/>
      <c r="AI47" s="124"/>
      <c r="AJ47" s="129"/>
      <c r="AK47" s="129"/>
      <c r="AL47" s="129"/>
      <c r="AM47" s="124"/>
      <c r="AN47" s="129"/>
      <c r="AO47" s="129"/>
      <c r="AP47" s="129"/>
      <c r="AQ47" s="129"/>
      <c r="AR47" s="113"/>
      <c r="AS47" s="128" t="s">
        <v>108</v>
      </c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13"/>
      <c r="BE47" s="200"/>
      <c r="BF47" s="128" t="s">
        <v>108</v>
      </c>
      <c r="BG47" s="123"/>
      <c r="BH47" s="129">
        <v>0</v>
      </c>
      <c r="BI47" s="123"/>
      <c r="BJ47" s="129">
        <v>0</v>
      </c>
      <c r="BK47" s="129"/>
      <c r="BL47" s="129"/>
      <c r="BM47" s="121"/>
      <c r="BN47" s="121"/>
      <c r="BO47" s="110" t="s">
        <v>108</v>
      </c>
      <c r="BP47" s="123"/>
      <c r="BQ47" s="123"/>
    </row>
    <row r="48" spans="1:69" ht="16.5" customHeight="1">
      <c r="A48" s="110" t="s">
        <v>109</v>
      </c>
      <c r="C48" s="123"/>
      <c r="D48" s="129"/>
      <c r="E48" s="129"/>
      <c r="F48" s="124"/>
      <c r="G48" s="124"/>
      <c r="H48" s="124"/>
      <c r="I48" s="128" t="e">
        <f>-'Con P&amp;L Journals'!E39+'Con P&amp;L Journals'!F39-SUM('Con P&amp;L Journals'!#REF!)+'Con P&amp;L Journals'!F39+SUM('Con P&amp;L Journals'!#REF!)</f>
        <v>#REF!</v>
      </c>
      <c r="J48" s="113"/>
      <c r="K48" s="113"/>
      <c r="L48" s="110" t="s">
        <v>109</v>
      </c>
      <c r="M48" s="123"/>
      <c r="N48" s="129"/>
      <c r="O48" s="129"/>
      <c r="P48" s="129"/>
      <c r="Q48" s="123">
        <v>0</v>
      </c>
      <c r="R48" s="129"/>
      <c r="S48" s="129"/>
      <c r="T48" s="129"/>
      <c r="U48" s="129"/>
      <c r="V48" s="129"/>
      <c r="W48" s="129"/>
      <c r="X48" s="123">
        <v>0</v>
      </c>
      <c r="Y48" s="129"/>
      <c r="Z48" s="129"/>
      <c r="AA48" s="129"/>
      <c r="AB48" s="129"/>
      <c r="AC48" s="113"/>
      <c r="AD48" s="110" t="s">
        <v>109</v>
      </c>
      <c r="AE48" s="123"/>
      <c r="AF48" s="129"/>
      <c r="AG48" s="129"/>
      <c r="AH48" s="124"/>
      <c r="AI48" s="124"/>
      <c r="AJ48" s="129"/>
      <c r="AK48" s="129"/>
      <c r="AL48" s="129"/>
      <c r="AM48" s="124"/>
      <c r="AN48" s="129"/>
      <c r="AO48" s="129"/>
      <c r="AP48" s="129"/>
      <c r="AQ48" s="129"/>
      <c r="AR48" s="113"/>
      <c r="AS48" s="128" t="s">
        <v>109</v>
      </c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13"/>
      <c r="BE48" s="200"/>
      <c r="BF48" s="128" t="s">
        <v>109</v>
      </c>
      <c r="BG48" s="123"/>
      <c r="BH48" s="129">
        <v>0</v>
      </c>
      <c r="BI48" s="123"/>
      <c r="BJ48" s="129">
        <v>0</v>
      </c>
      <c r="BK48" s="129"/>
      <c r="BL48" s="129"/>
      <c r="BM48" s="121"/>
      <c r="BN48" s="121"/>
      <c r="BO48" s="110" t="s">
        <v>109</v>
      </c>
      <c r="BP48" s="123"/>
      <c r="BQ48" s="123"/>
    </row>
    <row r="49" spans="1:69" s="90" customFormat="1" ht="16.5" customHeight="1" thickBot="1">
      <c r="A49" s="139"/>
      <c r="B49" s="371"/>
      <c r="C49" s="140">
        <f>C46+C47</f>
        <v>0</v>
      </c>
      <c r="D49" s="141">
        <f>AB49</f>
        <v>0</v>
      </c>
      <c r="E49" s="141">
        <f>BL49</f>
        <v>0</v>
      </c>
      <c r="F49" s="141">
        <f>SUM(F46:F48)</f>
        <v>0</v>
      </c>
      <c r="G49" s="141">
        <f>SUM(G46:G48)</f>
        <v>0</v>
      </c>
      <c r="H49" s="141">
        <f>SUM(H46:H48)</f>
        <v>0</v>
      </c>
      <c r="I49" s="140">
        <f>I43</f>
        <v>-1036491604.0839999</v>
      </c>
      <c r="J49" s="113"/>
      <c r="K49" s="113"/>
      <c r="L49" s="139"/>
      <c r="M49" s="140"/>
      <c r="N49" s="141"/>
      <c r="O49" s="141"/>
      <c r="P49" s="141"/>
      <c r="Q49" s="140">
        <f>+Q43</f>
        <v>-5332944</v>
      </c>
      <c r="R49" s="141"/>
      <c r="S49" s="141"/>
      <c r="T49" s="141"/>
      <c r="U49" s="141"/>
      <c r="V49" s="141"/>
      <c r="W49" s="141"/>
      <c r="X49" s="140">
        <f>+X43</f>
        <v>-6515033.6</v>
      </c>
      <c r="Y49" s="141"/>
      <c r="Z49" s="141"/>
      <c r="AA49" s="141"/>
      <c r="AB49" s="141"/>
      <c r="AC49" s="113"/>
      <c r="AD49" s="139"/>
      <c r="AE49" s="140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13"/>
      <c r="AS49" s="120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13"/>
      <c r="BE49" s="200"/>
      <c r="BF49" s="120"/>
      <c r="BG49" s="140"/>
      <c r="BH49" s="141">
        <f>BH43</f>
        <v>-16828327.1</v>
      </c>
      <c r="BI49" s="140"/>
      <c r="BJ49" s="141">
        <f>BJ43</f>
        <v>0</v>
      </c>
      <c r="BK49" s="141">
        <f>SUM(BK46:BK48)</f>
        <v>0</v>
      </c>
      <c r="BL49" s="141">
        <f>SUM(BL46:BL48)</f>
        <v>0</v>
      </c>
      <c r="BM49" s="121"/>
      <c r="BN49" s="121"/>
      <c r="BO49" s="139"/>
      <c r="BP49" s="140"/>
      <c r="BQ49" s="140"/>
    </row>
    <row r="50" spans="1:69" ht="13.5" thickTop="1">
      <c r="A50" s="125"/>
      <c r="C50" s="115"/>
      <c r="D50" s="115"/>
      <c r="E50" s="115"/>
      <c r="F50" s="115"/>
      <c r="G50" s="115"/>
      <c r="H50" s="115"/>
      <c r="I50" s="115"/>
      <c r="J50" s="113"/>
      <c r="K50" s="113"/>
      <c r="L50" s="113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3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3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200"/>
      <c r="BF50" s="113"/>
      <c r="BG50" s="114"/>
      <c r="BH50" s="114"/>
      <c r="BI50" s="114"/>
      <c r="BJ50" s="114"/>
      <c r="BK50" s="114"/>
      <c r="BL50" s="114"/>
      <c r="BM50" s="114"/>
      <c r="BN50" s="119"/>
      <c r="BO50" s="113"/>
      <c r="BP50" s="114"/>
      <c r="BQ50" s="114"/>
    </row>
    <row r="51" spans="1:69" ht="12.75">
      <c r="A51" s="125"/>
      <c r="C51" s="569" t="s">
        <v>790</v>
      </c>
      <c r="D51" s="115"/>
      <c r="E51" s="569"/>
      <c r="F51" s="115"/>
      <c r="G51" s="115"/>
      <c r="H51" s="115"/>
      <c r="J51" s="113"/>
      <c r="K51" s="113"/>
      <c r="L51" s="113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3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3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200"/>
      <c r="BF51" s="113" t="s">
        <v>110</v>
      </c>
      <c r="BG51" s="113"/>
      <c r="BH51" s="113"/>
      <c r="BI51" s="113"/>
      <c r="BJ51" s="142">
        <v>2.1625</v>
      </c>
      <c r="BK51" s="113"/>
      <c r="BL51" s="121"/>
      <c r="BM51" s="114"/>
      <c r="BN51" s="119"/>
      <c r="BO51" s="113"/>
      <c r="BP51" s="114"/>
      <c r="BQ51" s="114"/>
    </row>
    <row r="52" spans="1:69" ht="12.75">
      <c r="A52" s="125"/>
      <c r="B52" s="531" t="s">
        <v>456</v>
      </c>
      <c r="C52" s="532" t="s">
        <v>1155</v>
      </c>
      <c r="D52" s="532" t="s">
        <v>457</v>
      </c>
      <c r="E52" s="570"/>
      <c r="F52" s="570"/>
      <c r="G52" s="532"/>
      <c r="H52" s="532"/>
      <c r="J52" s="113"/>
      <c r="K52" s="113"/>
      <c r="L52" s="113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3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3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200"/>
      <c r="BF52" s="119" t="s">
        <v>111</v>
      </c>
      <c r="BG52" s="119">
        <f>IF(BG24&lt;0,0,ROUND(BG24*BG53/100,0))</f>
        <v>0</v>
      </c>
      <c r="BH52" s="119">
        <f>ROUND(BH24*BH53/100,0)</f>
        <v>-108148</v>
      </c>
      <c r="BI52" s="119">
        <f>IF(BI24&lt;0,0,ROUND(BI24*BI53/100,0))</f>
        <v>0</v>
      </c>
      <c r="BJ52" s="119">
        <f>ROUND(BJ24*BJ53/100,0)</f>
        <v>0</v>
      </c>
      <c r="BK52" s="119"/>
      <c r="BL52" s="121">
        <f>SUM(BG52:BJ52)</f>
        <v>-108148</v>
      </c>
      <c r="BM52" s="114"/>
      <c r="BN52" s="119"/>
      <c r="BO52" s="113"/>
      <c r="BP52" s="114"/>
      <c r="BQ52" s="114"/>
    </row>
    <row r="53" spans="1:69" ht="12.75">
      <c r="A53" s="125"/>
      <c r="B53" t="s">
        <v>899</v>
      </c>
      <c r="C53" s="529">
        <f>Q8+S8</f>
        <v>598500</v>
      </c>
      <c r="D53" s="529">
        <f>Q21+S21+X21+U21+BI21</f>
        <v>-4524048.09</v>
      </c>
      <c r="E53" s="121"/>
      <c r="F53" s="121"/>
      <c r="G53" s="529"/>
      <c r="H53" s="529"/>
      <c r="I53" s="115"/>
      <c r="J53" s="113"/>
      <c r="K53" s="113"/>
      <c r="L53" s="113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3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3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200"/>
      <c r="BF53" s="91" t="s">
        <v>112</v>
      </c>
      <c r="BG53" s="143">
        <v>49</v>
      </c>
      <c r="BH53" s="143">
        <v>45</v>
      </c>
      <c r="BI53" s="143">
        <v>25</v>
      </c>
      <c r="BJ53" s="143">
        <v>40.57</v>
      </c>
      <c r="BK53" s="143">
        <v>0</v>
      </c>
      <c r="BL53" s="121"/>
      <c r="BM53" s="114"/>
      <c r="BN53" s="119"/>
      <c r="BO53" s="113"/>
      <c r="BP53" s="114"/>
      <c r="BQ53" s="114"/>
    </row>
    <row r="54" spans="1:69" ht="12.75">
      <c r="A54" s="125"/>
      <c r="B54" t="s">
        <v>904</v>
      </c>
      <c r="C54" s="529">
        <f>C8+M8+N8+T8+W8</f>
        <v>4125249</v>
      </c>
      <c r="D54" s="529">
        <f>C21+M21+N21+W21+AN21-H17-275913</f>
        <v>-7800493.85</v>
      </c>
      <c r="E54" s="121"/>
      <c r="F54" s="121"/>
      <c r="G54" s="529"/>
      <c r="H54" s="529"/>
      <c r="I54" s="115"/>
      <c r="J54" s="113"/>
      <c r="K54" s="113"/>
      <c r="L54" s="113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3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3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200"/>
      <c r="BL54" s="136"/>
      <c r="BM54" s="114"/>
      <c r="BN54" s="119"/>
      <c r="BO54" s="113"/>
      <c r="BP54" s="114"/>
      <c r="BQ54" s="114"/>
    </row>
    <row r="55" spans="1:69" ht="12.75">
      <c r="A55" s="136"/>
      <c r="B55" t="s">
        <v>900</v>
      </c>
      <c r="C55" s="136">
        <f>BH8</f>
        <v>2396055</v>
      </c>
      <c r="D55" s="529">
        <f>BH21</f>
        <v>-240329</v>
      </c>
      <c r="E55" s="136"/>
      <c r="F55" s="136"/>
      <c r="G55" s="529"/>
      <c r="H55" s="529"/>
      <c r="I55" s="136"/>
      <c r="J55" s="90"/>
      <c r="K55" s="90"/>
      <c r="L55" s="90"/>
      <c r="M55" s="136"/>
      <c r="N55" s="136"/>
      <c r="O55" s="265"/>
      <c r="P55" s="136"/>
      <c r="Q55" s="265"/>
      <c r="R55" s="136"/>
      <c r="S55" s="265"/>
      <c r="T55" s="265"/>
      <c r="U55" s="265"/>
      <c r="V55" s="265"/>
      <c r="W55" s="265"/>
      <c r="X55" s="265"/>
      <c r="Y55" s="265"/>
      <c r="Z55" s="265"/>
      <c r="AA55" s="136"/>
      <c r="AB55" s="136"/>
      <c r="AC55" s="90"/>
      <c r="AD55" s="90"/>
      <c r="AE55" s="136"/>
      <c r="AF55" s="136"/>
      <c r="AG55" s="136"/>
      <c r="AH55" s="136"/>
      <c r="AI55" s="136"/>
      <c r="AJ55" s="136"/>
      <c r="AK55" s="136"/>
      <c r="AL55" s="265"/>
      <c r="AM55" s="136"/>
      <c r="AN55" s="265"/>
      <c r="AO55" s="265"/>
      <c r="AP55" s="136"/>
      <c r="AQ55" s="136"/>
      <c r="AR55" s="90"/>
      <c r="AS55" s="90"/>
      <c r="AT55" s="136"/>
      <c r="AU55" s="136"/>
      <c r="AV55" s="265"/>
      <c r="AW55" s="265"/>
      <c r="AX55" s="265"/>
      <c r="AY55" s="265"/>
      <c r="AZ55" s="265"/>
      <c r="BA55" s="265"/>
      <c r="BB55" s="136"/>
      <c r="BC55" s="136"/>
      <c r="BD55" s="90"/>
      <c r="BE55" s="306"/>
      <c r="BF55" s="90"/>
      <c r="BG55" s="91">
        <f>(BG53/100)*BG18</f>
        <v>-41598.8685</v>
      </c>
      <c r="BH55" s="91">
        <f>(BH53/100)*BH18</f>
        <v>-108148.05</v>
      </c>
      <c r="BI55" s="91">
        <f>(BI53/100)*BI18</f>
        <v>-351994.5225</v>
      </c>
      <c r="BJ55" s="91">
        <f>(BJ53/100)*BJ18</f>
        <v>0</v>
      </c>
      <c r="BM55" s="90"/>
      <c r="BN55" s="90"/>
      <c r="BO55" s="90"/>
      <c r="BP55" s="136"/>
      <c r="BQ55" s="136"/>
    </row>
    <row r="56" spans="2:69" ht="12.75">
      <c r="B56" t="s">
        <v>901</v>
      </c>
      <c r="C56" s="136">
        <f>O8</f>
        <v>291127</v>
      </c>
      <c r="D56" s="529">
        <f>O21+H17</f>
        <v>-1456252</v>
      </c>
      <c r="E56" s="136"/>
      <c r="F56" s="136"/>
      <c r="G56" s="529"/>
      <c r="H56" s="529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437"/>
      <c r="BF56" s="90"/>
      <c r="BG56" s="143"/>
      <c r="BH56" s="143"/>
      <c r="BI56" s="143"/>
      <c r="BJ56" s="143"/>
      <c r="BK56" s="143"/>
      <c r="BL56" s="143"/>
      <c r="BM56" s="90"/>
      <c r="BN56" s="90"/>
      <c r="BO56" s="90"/>
      <c r="BP56" s="90"/>
      <c r="BQ56" s="90"/>
    </row>
    <row r="57" spans="2:69" ht="12.75">
      <c r="B57" t="s">
        <v>878</v>
      </c>
      <c r="C57" s="136">
        <f>V8+BG8</f>
        <v>1303733.41</v>
      </c>
      <c r="D57" s="529">
        <f>BG21+V21</f>
        <v>-249421.69999999998</v>
      </c>
      <c r="E57" s="136"/>
      <c r="F57" s="136"/>
      <c r="G57" s="529"/>
      <c r="H57" s="529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437"/>
      <c r="BF57" s="136"/>
      <c r="BG57" s="90"/>
      <c r="BH57" s="306"/>
      <c r="BI57" s="90"/>
      <c r="BJ57" s="90"/>
      <c r="BK57" s="90"/>
      <c r="BL57" s="90"/>
      <c r="BM57" s="90"/>
      <c r="BN57" s="90"/>
      <c r="BO57" s="90"/>
      <c r="BP57" s="90"/>
      <c r="BQ57" s="90"/>
    </row>
    <row r="58" spans="1:69" ht="12.75">
      <c r="A58" s="136"/>
      <c r="C58" s="530">
        <f>SUM(C53:C57)</f>
        <v>8714664.41</v>
      </c>
      <c r="D58" s="533">
        <f>SUM(D53:D57)</f>
        <v>-14270544.639999999</v>
      </c>
      <c r="E58" s="136"/>
      <c r="F58" s="529"/>
      <c r="G58" s="529"/>
      <c r="H58" s="529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437"/>
      <c r="BF58" s="136"/>
      <c r="BG58" s="136"/>
      <c r="BH58" s="136"/>
      <c r="BI58" s="136"/>
      <c r="BJ58" s="136"/>
      <c r="BK58" s="136"/>
      <c r="BM58" s="90"/>
      <c r="BN58" s="90"/>
      <c r="BO58" s="90"/>
      <c r="BP58" s="90"/>
      <c r="BQ58" s="90"/>
    </row>
    <row r="59" spans="1:69" ht="12.75">
      <c r="A59" s="136"/>
      <c r="C59" s="136"/>
      <c r="D59" s="529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437"/>
      <c r="BF59" s="136"/>
      <c r="BG59" s="136"/>
      <c r="BH59" s="136"/>
      <c r="BI59" s="136"/>
      <c r="BJ59" s="136"/>
      <c r="BK59" s="136"/>
      <c r="BM59" s="90"/>
      <c r="BN59" s="90"/>
      <c r="BO59" s="90"/>
      <c r="BP59" s="90"/>
      <c r="BQ59" s="90"/>
    </row>
    <row r="60" spans="1:69" ht="12.75">
      <c r="A60" s="136" t="s">
        <v>769</v>
      </c>
      <c r="C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437"/>
      <c r="BF60" s="136"/>
      <c r="BG60" s="136">
        <v>1500000</v>
      </c>
      <c r="BH60" s="136">
        <v>4000000</v>
      </c>
      <c r="BI60" s="136">
        <v>250000</v>
      </c>
      <c r="BJ60" s="136">
        <v>80201849</v>
      </c>
      <c r="BK60" s="136"/>
      <c r="BL60" s="136"/>
      <c r="BM60" s="90"/>
      <c r="BN60" s="90"/>
      <c r="BO60" s="90"/>
      <c r="BP60" s="90"/>
      <c r="BQ60" s="90"/>
    </row>
    <row r="61" spans="1:64" ht="12.75">
      <c r="A61" s="144" t="s">
        <v>770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438"/>
      <c r="BF61" s="136"/>
      <c r="BG61" s="136">
        <f>(BG53/100)*BG60</f>
        <v>735000</v>
      </c>
      <c r="BH61" s="136">
        <f>(BH53/100)*BH60</f>
        <v>1800000</v>
      </c>
      <c r="BI61" s="136">
        <f>(BI53/100)*BI60</f>
        <v>62500</v>
      </c>
      <c r="BJ61" s="136">
        <f>(BJ53/100)*BJ60</f>
        <v>32537890.1393</v>
      </c>
      <c r="BK61" s="136"/>
      <c r="BL61" s="136"/>
    </row>
    <row r="62" spans="1:64" ht="12.75">
      <c r="A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438"/>
      <c r="BF62" s="144"/>
      <c r="BG62" s="136"/>
      <c r="BH62" s="136"/>
      <c r="BI62" s="136"/>
      <c r="BJ62" s="136"/>
      <c r="BK62" s="136"/>
      <c r="BL62" s="136"/>
    </row>
    <row r="63" spans="1:64" ht="12.75">
      <c r="A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438"/>
      <c r="BF63" s="144"/>
      <c r="BG63" s="144"/>
      <c r="BH63" s="144"/>
      <c r="BI63" s="144"/>
      <c r="BJ63" s="144"/>
      <c r="BK63" s="144"/>
      <c r="BL63" s="144"/>
    </row>
    <row r="64" spans="1:64" ht="12.75">
      <c r="A64" s="373" t="str">
        <f>A1</f>
        <v>AUSTRAL AMALGAMATED BERHAD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438"/>
      <c r="BF64" s="144"/>
      <c r="BG64" s="144"/>
      <c r="BH64" s="144"/>
      <c r="BI64" s="144"/>
      <c r="BJ64" s="144"/>
      <c r="BK64" s="144"/>
      <c r="BL64" s="144"/>
    </row>
    <row r="65" spans="1:64" ht="12.75">
      <c r="A65" s="373" t="str">
        <f>A2</f>
        <v>GROUP  PROFIT AND LOSS ACCOUNT (based on amended June 99 balances)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438"/>
      <c r="BF65" s="144"/>
      <c r="BG65" s="144"/>
      <c r="BH65" s="144"/>
      <c r="BI65" s="144"/>
      <c r="BJ65" s="144"/>
      <c r="BK65" s="144"/>
      <c r="BL65" s="144"/>
    </row>
    <row r="66" spans="1:64" ht="12.75">
      <c r="A66" s="373" t="str">
        <f>A3</f>
        <v>For the Period from 1st July 1999 to  30th September 2000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438"/>
      <c r="BF66" s="144"/>
      <c r="BG66" s="144"/>
      <c r="BH66" s="144"/>
      <c r="BI66" s="144"/>
      <c r="BJ66" s="144"/>
      <c r="BK66" s="144"/>
      <c r="BL66" s="144"/>
    </row>
    <row r="67" spans="1:64" ht="12.75">
      <c r="A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438"/>
      <c r="BF67" s="144"/>
      <c r="BG67" s="144"/>
      <c r="BH67" s="144"/>
      <c r="BI67" s="144"/>
      <c r="BJ67" s="144"/>
      <c r="BK67" s="144"/>
      <c r="BL67" s="144"/>
    </row>
    <row r="68" spans="1:64" ht="12.75">
      <c r="A68" s="373" t="s">
        <v>356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438"/>
      <c r="BF68" s="144"/>
      <c r="BG68" s="144"/>
      <c r="BH68" s="144"/>
      <c r="BI68" s="144"/>
      <c r="BJ68" s="144"/>
      <c r="BK68" s="144"/>
      <c r="BL68" s="144"/>
    </row>
    <row r="69" spans="1:69" s="90" customFormat="1" ht="15.75" customHeight="1">
      <c r="A69" s="92"/>
      <c r="B69" s="428"/>
      <c r="C69" s="93" t="s">
        <v>387</v>
      </c>
      <c r="D69" s="94" t="s">
        <v>1400</v>
      </c>
      <c r="E69" s="95"/>
      <c r="F69" s="96"/>
      <c r="G69" s="96"/>
      <c r="H69" s="96"/>
      <c r="I69" s="97"/>
      <c r="J69" s="98"/>
      <c r="K69" s="98"/>
      <c r="L69" s="92"/>
      <c r="M69" s="93" t="s">
        <v>1401</v>
      </c>
      <c r="N69" s="93" t="s">
        <v>1401</v>
      </c>
      <c r="O69" s="100" t="s">
        <v>1403</v>
      </c>
      <c r="P69" s="100" t="s">
        <v>1403</v>
      </c>
      <c r="Q69" s="291" t="s">
        <v>1404</v>
      </c>
      <c r="R69" s="100" t="s">
        <v>1404</v>
      </c>
      <c r="S69" s="100" t="s">
        <v>1402</v>
      </c>
      <c r="T69" s="100" t="s">
        <v>1411</v>
      </c>
      <c r="U69" s="100" t="s">
        <v>1418</v>
      </c>
      <c r="V69" s="100" t="s">
        <v>1407</v>
      </c>
      <c r="W69" s="100" t="s">
        <v>1406</v>
      </c>
      <c r="X69" s="291" t="s">
        <v>1416</v>
      </c>
      <c r="Y69" s="100" t="s">
        <v>1405</v>
      </c>
      <c r="Z69" s="100" t="s">
        <v>1408</v>
      </c>
      <c r="AA69" s="100" t="s">
        <v>1408</v>
      </c>
      <c r="AB69" s="100"/>
      <c r="AC69" s="98"/>
      <c r="AD69" s="92"/>
      <c r="AE69" s="93" t="s">
        <v>1409</v>
      </c>
      <c r="AF69" s="93" t="s">
        <v>1410</v>
      </c>
      <c r="AG69" s="93" t="s">
        <v>1410</v>
      </c>
      <c r="AH69" s="93" t="s">
        <v>1410</v>
      </c>
      <c r="AI69" s="93" t="s">
        <v>1410</v>
      </c>
      <c r="AJ69" s="93" t="s">
        <v>1410</v>
      </c>
      <c r="AK69" s="93" t="s">
        <v>1410</v>
      </c>
      <c r="AL69" s="93" t="s">
        <v>1410</v>
      </c>
      <c r="AM69" s="100" t="s">
        <v>1401</v>
      </c>
      <c r="AN69" s="100" t="s">
        <v>1412</v>
      </c>
      <c r="AO69" s="100" t="s">
        <v>1413</v>
      </c>
      <c r="AP69" s="100" t="s">
        <v>1414</v>
      </c>
      <c r="AQ69" s="100"/>
      <c r="AR69" s="98"/>
      <c r="AS69" s="92"/>
      <c r="AT69" s="101" t="s">
        <v>1415</v>
      </c>
      <c r="AU69" s="100"/>
      <c r="AV69" s="100" t="s">
        <v>1416</v>
      </c>
      <c r="AW69" s="100" t="s">
        <v>1416</v>
      </c>
      <c r="AX69" s="100" t="s">
        <v>1417</v>
      </c>
      <c r="AY69" s="100" t="s">
        <v>1404</v>
      </c>
      <c r="AZ69" s="100" t="s">
        <v>1404</v>
      </c>
      <c r="BA69" s="100" t="s">
        <v>1404</v>
      </c>
      <c r="BB69" s="100" t="s">
        <v>1419</v>
      </c>
      <c r="BC69" s="100"/>
      <c r="BD69" s="98"/>
      <c r="BE69" s="436"/>
      <c r="BF69" s="92"/>
      <c r="BG69" s="291" t="s">
        <v>1172</v>
      </c>
      <c r="BH69" s="100" t="s">
        <v>1420</v>
      </c>
      <c r="BI69" s="100" t="s">
        <v>27</v>
      </c>
      <c r="BJ69" s="102"/>
      <c r="BK69" s="100"/>
      <c r="BL69" s="100"/>
      <c r="BM69" s="103"/>
      <c r="BN69" s="103"/>
      <c r="BO69" s="92"/>
      <c r="BP69" s="93" t="s">
        <v>157</v>
      </c>
      <c r="BQ69" s="93" t="s">
        <v>157</v>
      </c>
    </row>
    <row r="70" spans="1:69" s="90" customFormat="1" ht="16.5" customHeight="1">
      <c r="A70" s="372" t="s">
        <v>96</v>
      </c>
      <c r="B70" s="136"/>
      <c r="C70" s="105" t="s">
        <v>388</v>
      </c>
      <c r="D70" s="106" t="s">
        <v>1425</v>
      </c>
      <c r="E70" s="106" t="s">
        <v>1426</v>
      </c>
      <c r="F70" s="106" t="s">
        <v>1441</v>
      </c>
      <c r="G70" s="106" t="s">
        <v>1428</v>
      </c>
      <c r="H70" s="106" t="s">
        <v>1429</v>
      </c>
      <c r="I70" s="105" t="s">
        <v>1430</v>
      </c>
      <c r="J70" s="98"/>
      <c r="K70" s="98"/>
      <c r="L70" s="104" t="s">
        <v>96</v>
      </c>
      <c r="M70" s="105" t="s">
        <v>1431</v>
      </c>
      <c r="N70" s="105" t="s">
        <v>1432</v>
      </c>
      <c r="O70" s="106" t="s">
        <v>1439</v>
      </c>
      <c r="P70" s="106" t="s">
        <v>1435</v>
      </c>
      <c r="Q70" s="292" t="s">
        <v>23</v>
      </c>
      <c r="R70" s="106" t="s">
        <v>1436</v>
      </c>
      <c r="S70" s="106" t="s">
        <v>1433</v>
      </c>
      <c r="T70" s="106" t="s">
        <v>1449</v>
      </c>
      <c r="U70" s="106" t="s">
        <v>1432</v>
      </c>
      <c r="V70" s="106" t="s">
        <v>1440</v>
      </c>
      <c r="W70" s="106" t="s">
        <v>1438</v>
      </c>
      <c r="X70" s="292" t="s">
        <v>1454</v>
      </c>
      <c r="Y70" s="106" t="s">
        <v>1437</v>
      </c>
      <c r="Z70" s="106" t="s">
        <v>385</v>
      </c>
      <c r="AA70" s="106" t="s">
        <v>384</v>
      </c>
      <c r="AB70" s="106" t="s">
        <v>1441</v>
      </c>
      <c r="AC70" s="107"/>
      <c r="AD70" s="104" t="s">
        <v>96</v>
      </c>
      <c r="AE70" s="105"/>
      <c r="AF70" s="105" t="s">
        <v>1442</v>
      </c>
      <c r="AG70" s="106" t="s">
        <v>1443</v>
      </c>
      <c r="AH70" s="106" t="s">
        <v>1444</v>
      </c>
      <c r="AI70" s="106" t="s">
        <v>1445</v>
      </c>
      <c r="AJ70" s="106" t="s">
        <v>1446</v>
      </c>
      <c r="AK70" s="106" t="s">
        <v>1447</v>
      </c>
      <c r="AL70" s="106" t="s">
        <v>1448</v>
      </c>
      <c r="AM70" s="106" t="s">
        <v>1434</v>
      </c>
      <c r="AN70" s="106" t="s">
        <v>1450</v>
      </c>
      <c r="AO70" s="106" t="s">
        <v>1451</v>
      </c>
      <c r="AP70" s="106" t="s">
        <v>1452</v>
      </c>
      <c r="AQ70" s="106" t="s">
        <v>1441</v>
      </c>
      <c r="AR70" s="107"/>
      <c r="AS70" s="104" t="s">
        <v>96</v>
      </c>
      <c r="AT70" s="105" t="s">
        <v>1453</v>
      </c>
      <c r="AU70" s="106"/>
      <c r="AV70" s="106" t="s">
        <v>1460</v>
      </c>
      <c r="AW70" s="106" t="s">
        <v>1461</v>
      </c>
      <c r="AX70" s="106" t="s">
        <v>1462</v>
      </c>
      <c r="AY70" s="106" t="s">
        <v>1463</v>
      </c>
      <c r="AZ70" s="106" t="s">
        <v>341</v>
      </c>
      <c r="BA70" s="106" t="s">
        <v>1464</v>
      </c>
      <c r="BB70" s="106" t="s">
        <v>1465</v>
      </c>
      <c r="BC70" s="106" t="s">
        <v>1441</v>
      </c>
      <c r="BD70" s="107"/>
      <c r="BE70" s="436"/>
      <c r="BF70" s="104" t="s">
        <v>96</v>
      </c>
      <c r="BG70" s="292" t="s">
        <v>1466</v>
      </c>
      <c r="BH70" s="106" t="s">
        <v>0</v>
      </c>
      <c r="BI70" s="106" t="s">
        <v>28</v>
      </c>
      <c r="BJ70" s="108"/>
      <c r="BK70" s="106"/>
      <c r="BL70" s="106" t="s">
        <v>1441</v>
      </c>
      <c r="BM70" s="109"/>
      <c r="BN70" s="109"/>
      <c r="BO70" s="104" t="s">
        <v>96</v>
      </c>
      <c r="BP70" s="307" t="s">
        <v>403</v>
      </c>
      <c r="BQ70" s="307" t="s">
        <v>405</v>
      </c>
    </row>
    <row r="71" spans="1:69" ht="16.5" customHeight="1">
      <c r="A71" s="378"/>
      <c r="B71" s="429" t="s">
        <v>357</v>
      </c>
      <c r="C71" s="374"/>
      <c r="D71" s="374"/>
      <c r="E71" s="374"/>
      <c r="F71" s="374"/>
      <c r="G71" s="374"/>
      <c r="H71" s="374"/>
      <c r="I71" s="374"/>
      <c r="J71" s="113"/>
      <c r="K71" s="113"/>
      <c r="L71" s="387" t="s">
        <v>357</v>
      </c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114"/>
      <c r="AD71" s="387" t="s">
        <v>357</v>
      </c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114"/>
      <c r="AS71" s="387" t="s">
        <v>357</v>
      </c>
      <c r="AT71" s="374"/>
      <c r="AU71" s="374"/>
      <c r="AV71" s="374"/>
      <c r="AW71" s="374"/>
      <c r="AX71" s="374"/>
      <c r="AY71" s="374"/>
      <c r="AZ71" s="374"/>
      <c r="BA71" s="374"/>
      <c r="BB71" s="374"/>
      <c r="BC71" s="374"/>
      <c r="BD71" s="114"/>
      <c r="BE71" s="200"/>
      <c r="BF71" s="387" t="s">
        <v>357</v>
      </c>
      <c r="BG71" s="374"/>
      <c r="BH71" s="384"/>
      <c r="BI71" s="374"/>
      <c r="BJ71" s="374"/>
      <c r="BK71" s="374"/>
      <c r="BL71" s="374"/>
      <c r="BM71" s="115"/>
      <c r="BN71" s="115"/>
      <c r="BO71" s="387" t="s">
        <v>357</v>
      </c>
      <c r="BP71" s="111"/>
      <c r="BQ71" s="111"/>
    </row>
    <row r="72" spans="1:71" s="18" customFormat="1" ht="16.5" customHeight="1">
      <c r="A72" s="426"/>
      <c r="B72" s="369" t="s">
        <v>358</v>
      </c>
      <c r="C72" s="29">
        <v>0</v>
      </c>
      <c r="D72" s="199">
        <f>AB72</f>
        <v>149585</v>
      </c>
      <c r="E72" s="199">
        <f>BL72</f>
        <v>0</v>
      </c>
      <c r="F72" s="199">
        <f>SUM(C72:E72)</f>
        <v>149585</v>
      </c>
      <c r="G72" s="375"/>
      <c r="H72" s="375"/>
      <c r="I72" s="345">
        <f aca="true" t="shared" si="41" ref="I72:I80">F72-G72+H72</f>
        <v>149585</v>
      </c>
      <c r="J72" s="3"/>
      <c r="K72" s="3"/>
      <c r="L72" s="388" t="s">
        <v>358</v>
      </c>
      <c r="M72" s="395">
        <v>0</v>
      </c>
      <c r="N72" s="395">
        <v>0</v>
      </c>
      <c r="O72" s="395">
        <v>149585</v>
      </c>
      <c r="P72" s="395">
        <v>0</v>
      </c>
      <c r="Q72" s="395">
        <v>0</v>
      </c>
      <c r="R72" s="395">
        <v>0</v>
      </c>
      <c r="S72" s="395">
        <v>0</v>
      </c>
      <c r="T72" s="395">
        <v>0</v>
      </c>
      <c r="U72" s="395">
        <v>0</v>
      </c>
      <c r="V72" s="395">
        <v>0</v>
      </c>
      <c r="W72" s="395">
        <v>0</v>
      </c>
      <c r="X72" s="395">
        <v>0</v>
      </c>
      <c r="Y72" s="395">
        <v>0</v>
      </c>
      <c r="Z72" s="199">
        <f aca="true" t="shared" si="42" ref="Z72:Z80">AQ72</f>
        <v>0</v>
      </c>
      <c r="AA72" s="199">
        <f aca="true" t="shared" si="43" ref="AA72:AA80">BC72</f>
        <v>0</v>
      </c>
      <c r="AB72" s="128">
        <f>SUM(M72:AA72)</f>
        <v>149585</v>
      </c>
      <c r="AC72" s="3"/>
      <c r="AD72" s="388" t="s">
        <v>358</v>
      </c>
      <c r="AE72" s="410">
        <v>0</v>
      </c>
      <c r="AF72" s="395">
        <v>0</v>
      </c>
      <c r="AG72" s="395">
        <v>0</v>
      </c>
      <c r="AH72" s="395">
        <v>0</v>
      </c>
      <c r="AI72" s="395">
        <v>0</v>
      </c>
      <c r="AJ72" s="395">
        <v>0</v>
      </c>
      <c r="AK72" s="395">
        <v>0</v>
      </c>
      <c r="AL72" s="395">
        <v>0</v>
      </c>
      <c r="AM72" s="395">
        <v>0</v>
      </c>
      <c r="AN72" s="395">
        <v>0</v>
      </c>
      <c r="AO72" s="395">
        <v>0</v>
      </c>
      <c r="AP72" s="395">
        <v>0</v>
      </c>
      <c r="AQ72" s="199">
        <f aca="true" t="shared" si="44" ref="AQ72:AQ80">SUM(AE72:AP72)</f>
        <v>0</v>
      </c>
      <c r="AR72" s="338"/>
      <c r="AS72" s="388" t="s">
        <v>358</v>
      </c>
      <c r="AT72" s="377">
        <v>0</v>
      </c>
      <c r="AU72" s="377"/>
      <c r="AV72" s="377">
        <v>0</v>
      </c>
      <c r="AW72" s="377">
        <v>0</v>
      </c>
      <c r="AX72" s="377">
        <v>0</v>
      </c>
      <c r="AY72" s="377">
        <v>0</v>
      </c>
      <c r="AZ72" s="377">
        <v>0</v>
      </c>
      <c r="BA72" s="377">
        <v>0</v>
      </c>
      <c r="BB72" s="377">
        <v>0</v>
      </c>
      <c r="BC72" s="129">
        <f aca="true" t="shared" si="45" ref="BC72:BC79">SUM(AT72:BB72)</f>
        <v>0</v>
      </c>
      <c r="BD72" s="337"/>
      <c r="BE72" s="439"/>
      <c r="BF72" s="388" t="s">
        <v>358</v>
      </c>
      <c r="BG72" s="383">
        <v>0</v>
      </c>
      <c r="BH72" s="383">
        <v>0</v>
      </c>
      <c r="BI72" s="383">
        <v>0</v>
      </c>
      <c r="BJ72" s="380"/>
      <c r="BK72" s="382"/>
      <c r="BL72" s="419">
        <f>SUM(BG72:BK72)</f>
        <v>0</v>
      </c>
      <c r="BM72" s="338"/>
      <c r="BN72" s="338"/>
      <c r="BO72" s="392" t="s">
        <v>358</v>
      </c>
      <c r="BP72" s="3"/>
      <c r="BQ72" s="3"/>
      <c r="BR72" s="339"/>
      <c r="BS72" s="339"/>
    </row>
    <row r="73" spans="1:71" s="5" customFormat="1" ht="16.5" customHeight="1">
      <c r="A73" s="427"/>
      <c r="B73" s="41" t="s">
        <v>359</v>
      </c>
      <c r="C73" s="29">
        <v>0</v>
      </c>
      <c r="D73" s="199">
        <f aca="true" t="shared" si="46" ref="D73:D80">AB73</f>
        <v>0</v>
      </c>
      <c r="E73" s="199">
        <f aca="true" t="shared" si="47" ref="E73:E80">BL73</f>
        <v>0</v>
      </c>
      <c r="F73" s="199">
        <f aca="true" t="shared" si="48" ref="F73:F80">SUM(C73:E73)</f>
        <v>0</v>
      </c>
      <c r="G73" s="29"/>
      <c r="H73" s="29"/>
      <c r="I73" s="345">
        <f t="shared" si="41"/>
        <v>0</v>
      </c>
      <c r="J73" s="341"/>
      <c r="K73" s="341"/>
      <c r="L73" s="29" t="s">
        <v>359</v>
      </c>
      <c r="M73" s="395">
        <v>0</v>
      </c>
      <c r="N73" s="395">
        <v>0</v>
      </c>
      <c r="O73" s="395">
        <v>0</v>
      </c>
      <c r="P73" s="395">
        <v>0</v>
      </c>
      <c r="Q73" s="395">
        <v>0</v>
      </c>
      <c r="R73" s="395">
        <v>0</v>
      </c>
      <c r="S73" s="395">
        <v>0</v>
      </c>
      <c r="T73" s="395">
        <v>0</v>
      </c>
      <c r="U73" s="395">
        <v>0</v>
      </c>
      <c r="V73" s="395">
        <v>0</v>
      </c>
      <c r="W73" s="395">
        <v>0</v>
      </c>
      <c r="X73" s="395">
        <v>0</v>
      </c>
      <c r="Y73" s="395">
        <v>0</v>
      </c>
      <c r="Z73" s="199">
        <f t="shared" si="42"/>
        <v>0</v>
      </c>
      <c r="AA73" s="199">
        <f t="shared" si="43"/>
        <v>0</v>
      </c>
      <c r="AB73" s="128">
        <f aca="true" t="shared" si="49" ref="AB73:AB80">SUM(M73:AA73)</f>
        <v>0</v>
      </c>
      <c r="AC73" s="341"/>
      <c r="AD73" s="29" t="s">
        <v>359</v>
      </c>
      <c r="AE73" s="408">
        <v>0</v>
      </c>
      <c r="AF73" s="408">
        <v>0</v>
      </c>
      <c r="AG73" s="408">
        <v>0</v>
      </c>
      <c r="AH73" s="408">
        <v>0</v>
      </c>
      <c r="AI73" s="408">
        <v>0</v>
      </c>
      <c r="AJ73" s="408">
        <v>0</v>
      </c>
      <c r="AK73" s="408">
        <v>0</v>
      </c>
      <c r="AL73" s="408">
        <v>0</v>
      </c>
      <c r="AM73" s="408">
        <v>0</v>
      </c>
      <c r="AN73" s="408">
        <v>0</v>
      </c>
      <c r="AO73" s="408">
        <v>0</v>
      </c>
      <c r="AP73" s="408">
        <v>0</v>
      </c>
      <c r="AQ73" s="199">
        <f t="shared" si="44"/>
        <v>0</v>
      </c>
      <c r="AR73" s="41"/>
      <c r="AS73" s="29" t="s">
        <v>359</v>
      </c>
      <c r="AT73" s="377">
        <v>0</v>
      </c>
      <c r="AU73" s="377"/>
      <c r="AV73" s="377">
        <v>0</v>
      </c>
      <c r="AW73" s="377">
        <v>0</v>
      </c>
      <c r="AX73" s="377">
        <v>0</v>
      </c>
      <c r="AY73" s="377">
        <v>0</v>
      </c>
      <c r="AZ73" s="377">
        <v>0</v>
      </c>
      <c r="BA73" s="377">
        <v>0</v>
      </c>
      <c r="BB73" s="377">
        <v>0</v>
      </c>
      <c r="BC73" s="129">
        <f t="shared" si="45"/>
        <v>0</v>
      </c>
      <c r="BD73" s="41"/>
      <c r="BE73" s="342"/>
      <c r="BF73" s="29" t="s">
        <v>359</v>
      </c>
      <c r="BG73" s="383">
        <v>0</v>
      </c>
      <c r="BH73" s="383">
        <v>0</v>
      </c>
      <c r="BI73" s="383">
        <v>0</v>
      </c>
      <c r="BJ73" s="29"/>
      <c r="BK73" s="283"/>
      <c r="BL73" s="419">
        <f aca="true" t="shared" si="50" ref="BL73:BL80">SUM(BG73:BK73)</f>
        <v>0</v>
      </c>
      <c r="BM73" s="41"/>
      <c r="BN73" s="41"/>
      <c r="BO73" s="376" t="s">
        <v>359</v>
      </c>
      <c r="BP73" s="341"/>
      <c r="BQ73" s="340"/>
      <c r="BR73" s="41"/>
      <c r="BS73" s="41"/>
    </row>
    <row r="74" spans="1:67" ht="13.5">
      <c r="A74" s="378"/>
      <c r="B74" s="144" t="s">
        <v>360</v>
      </c>
      <c r="C74" s="377">
        <v>0</v>
      </c>
      <c r="D74" s="199">
        <f t="shared" si="46"/>
        <v>0</v>
      </c>
      <c r="E74" s="199">
        <f t="shared" si="47"/>
        <v>0</v>
      </c>
      <c r="F74" s="199">
        <f t="shared" si="48"/>
        <v>0</v>
      </c>
      <c r="G74" s="377"/>
      <c r="H74" s="377"/>
      <c r="I74" s="345">
        <f t="shared" si="41"/>
        <v>0</v>
      </c>
      <c r="J74" s="144"/>
      <c r="K74" s="144"/>
      <c r="L74" s="377" t="s">
        <v>360</v>
      </c>
      <c r="M74" s="395">
        <v>0</v>
      </c>
      <c r="N74" s="395">
        <v>0</v>
      </c>
      <c r="O74" s="395">
        <v>0</v>
      </c>
      <c r="P74" s="395">
        <v>0</v>
      </c>
      <c r="Q74" s="395">
        <v>0</v>
      </c>
      <c r="R74" s="377">
        <v>0</v>
      </c>
      <c r="S74" s="395">
        <v>0</v>
      </c>
      <c r="T74" s="395">
        <v>0</v>
      </c>
      <c r="U74" s="395">
        <v>0</v>
      </c>
      <c r="V74" s="395">
        <v>0</v>
      </c>
      <c r="W74" s="395">
        <v>0</v>
      </c>
      <c r="X74" s="395">
        <v>0</v>
      </c>
      <c r="Y74" s="395">
        <v>0</v>
      </c>
      <c r="Z74" s="199">
        <f t="shared" si="42"/>
        <v>0</v>
      </c>
      <c r="AA74" s="199">
        <f t="shared" si="43"/>
        <v>0</v>
      </c>
      <c r="AB74" s="128">
        <f t="shared" si="49"/>
        <v>0</v>
      </c>
      <c r="AC74" s="144"/>
      <c r="AD74" s="377" t="s">
        <v>360</v>
      </c>
      <c r="AE74" s="409">
        <v>0</v>
      </c>
      <c r="AF74" s="409">
        <v>0</v>
      </c>
      <c r="AG74" s="409">
        <v>0</v>
      </c>
      <c r="AH74" s="409">
        <v>0</v>
      </c>
      <c r="AI74" s="409">
        <v>0</v>
      </c>
      <c r="AJ74" s="409">
        <v>0</v>
      </c>
      <c r="AK74" s="409">
        <v>0</v>
      </c>
      <c r="AL74" s="409">
        <v>0</v>
      </c>
      <c r="AM74" s="409">
        <v>0</v>
      </c>
      <c r="AN74" s="409">
        <v>0</v>
      </c>
      <c r="AO74" s="409">
        <v>0</v>
      </c>
      <c r="AP74" s="409">
        <v>0</v>
      </c>
      <c r="AQ74" s="199">
        <f t="shared" si="44"/>
        <v>0</v>
      </c>
      <c r="AR74" s="144"/>
      <c r="AS74" s="377" t="s">
        <v>360</v>
      </c>
      <c r="AT74" s="377">
        <v>0</v>
      </c>
      <c r="AU74" s="377"/>
      <c r="AV74" s="377">
        <v>0</v>
      </c>
      <c r="AW74" s="377">
        <v>0</v>
      </c>
      <c r="AX74" s="377">
        <v>0</v>
      </c>
      <c r="AY74" s="377">
        <v>0</v>
      </c>
      <c r="AZ74" s="377">
        <v>0</v>
      </c>
      <c r="BA74" s="377">
        <v>0</v>
      </c>
      <c r="BB74" s="377">
        <v>0</v>
      </c>
      <c r="BC74" s="129">
        <f t="shared" si="45"/>
        <v>0</v>
      </c>
      <c r="BD74" s="144"/>
      <c r="BE74" s="438"/>
      <c r="BF74" s="377" t="s">
        <v>360</v>
      </c>
      <c r="BG74" s="377">
        <v>0</v>
      </c>
      <c r="BH74" s="377">
        <v>0</v>
      </c>
      <c r="BI74" s="377">
        <v>0</v>
      </c>
      <c r="BJ74" s="377"/>
      <c r="BK74" s="377"/>
      <c r="BL74" s="419">
        <f t="shared" si="50"/>
        <v>0</v>
      </c>
      <c r="BO74" s="378" t="s">
        <v>360</v>
      </c>
    </row>
    <row r="75" spans="1:67" ht="13.5">
      <c r="A75" s="378"/>
      <c r="B75" s="144" t="s">
        <v>361</v>
      </c>
      <c r="C75" s="377">
        <v>0</v>
      </c>
      <c r="D75" s="199">
        <f t="shared" si="46"/>
        <v>0</v>
      </c>
      <c r="E75" s="199">
        <f t="shared" si="47"/>
        <v>-5193</v>
      </c>
      <c r="F75" s="199">
        <f t="shared" si="48"/>
        <v>-5193</v>
      </c>
      <c r="G75" s="377"/>
      <c r="H75" s="377"/>
      <c r="I75" s="345">
        <f t="shared" si="41"/>
        <v>-5193</v>
      </c>
      <c r="J75" s="144"/>
      <c r="K75" s="144"/>
      <c r="L75" s="377" t="s">
        <v>361</v>
      </c>
      <c r="M75" s="395">
        <v>0</v>
      </c>
      <c r="N75" s="395">
        <v>0</v>
      </c>
      <c r="O75" s="395">
        <v>0</v>
      </c>
      <c r="P75" s="395">
        <v>0</v>
      </c>
      <c r="Q75" s="395">
        <v>0</v>
      </c>
      <c r="R75" s="377">
        <v>0</v>
      </c>
      <c r="S75" s="395">
        <v>0</v>
      </c>
      <c r="T75" s="395">
        <v>0</v>
      </c>
      <c r="U75" s="395">
        <v>0</v>
      </c>
      <c r="V75" s="395">
        <v>0</v>
      </c>
      <c r="W75" s="395">
        <v>0</v>
      </c>
      <c r="X75" s="395">
        <v>0</v>
      </c>
      <c r="Y75" s="395">
        <v>0</v>
      </c>
      <c r="Z75" s="199">
        <f t="shared" si="42"/>
        <v>0</v>
      </c>
      <c r="AA75" s="199">
        <f t="shared" si="43"/>
        <v>0</v>
      </c>
      <c r="AB75" s="128">
        <f t="shared" si="49"/>
        <v>0</v>
      </c>
      <c r="AC75" s="144"/>
      <c r="AD75" s="377" t="s">
        <v>361</v>
      </c>
      <c r="AE75" s="409">
        <v>0</v>
      </c>
      <c r="AF75" s="409">
        <v>0</v>
      </c>
      <c r="AG75" s="409">
        <v>0</v>
      </c>
      <c r="AH75" s="409">
        <v>0</v>
      </c>
      <c r="AI75" s="409">
        <v>0</v>
      </c>
      <c r="AJ75" s="409">
        <v>0</v>
      </c>
      <c r="AK75" s="409">
        <v>0</v>
      </c>
      <c r="AL75" s="409">
        <v>0</v>
      </c>
      <c r="AM75" s="409">
        <v>0</v>
      </c>
      <c r="AN75" s="409">
        <v>0</v>
      </c>
      <c r="AO75" s="409">
        <v>0</v>
      </c>
      <c r="AP75" s="409">
        <v>0</v>
      </c>
      <c r="AQ75" s="199">
        <f t="shared" si="44"/>
        <v>0</v>
      </c>
      <c r="AR75" s="144"/>
      <c r="AS75" s="377" t="s">
        <v>361</v>
      </c>
      <c r="AT75" s="377">
        <v>0</v>
      </c>
      <c r="AU75" s="377"/>
      <c r="AV75" s="377">
        <v>0</v>
      </c>
      <c r="AW75" s="377">
        <v>0</v>
      </c>
      <c r="AX75" s="377">
        <v>0</v>
      </c>
      <c r="AY75" s="377">
        <v>0</v>
      </c>
      <c r="AZ75" s="377">
        <v>0</v>
      </c>
      <c r="BA75" s="377">
        <v>0</v>
      </c>
      <c r="BB75" s="377">
        <v>0</v>
      </c>
      <c r="BC75" s="129">
        <f t="shared" si="45"/>
        <v>0</v>
      </c>
      <c r="BD75" s="144"/>
      <c r="BE75" s="438"/>
      <c r="BF75" s="377" t="s">
        <v>361</v>
      </c>
      <c r="BG75" s="377">
        <v>0</v>
      </c>
      <c r="BH75" s="377">
        <v>-5193</v>
      </c>
      <c r="BI75" s="377">
        <v>0</v>
      </c>
      <c r="BJ75" s="377"/>
      <c r="BK75" s="377"/>
      <c r="BL75" s="419">
        <f t="shared" si="50"/>
        <v>-5193</v>
      </c>
      <c r="BO75" s="378" t="s">
        <v>361</v>
      </c>
    </row>
    <row r="76" spans="1:67" ht="13.5">
      <c r="A76" s="378"/>
      <c r="B76" s="144" t="s">
        <v>362</v>
      </c>
      <c r="C76" s="377">
        <v>0</v>
      </c>
      <c r="D76" s="199">
        <f t="shared" si="46"/>
        <v>0</v>
      </c>
      <c r="E76" s="199">
        <f t="shared" si="47"/>
        <v>-4993</v>
      </c>
      <c r="F76" s="199">
        <f t="shared" si="48"/>
        <v>-4993</v>
      </c>
      <c r="G76" s="377"/>
      <c r="H76" s="377"/>
      <c r="I76" s="345">
        <f t="shared" si="41"/>
        <v>-4993</v>
      </c>
      <c r="J76" s="144"/>
      <c r="K76" s="144"/>
      <c r="L76" s="377" t="s">
        <v>362</v>
      </c>
      <c r="M76" s="395">
        <v>0</v>
      </c>
      <c r="N76" s="395">
        <v>0</v>
      </c>
      <c r="O76" s="395">
        <v>0</v>
      </c>
      <c r="P76" s="395">
        <v>0</v>
      </c>
      <c r="Q76" s="395">
        <v>0</v>
      </c>
      <c r="R76" s="622">
        <v>0</v>
      </c>
      <c r="S76" s="395">
        <v>0</v>
      </c>
      <c r="T76" s="395">
        <v>0</v>
      </c>
      <c r="U76" s="395">
        <v>0</v>
      </c>
      <c r="V76" s="395">
        <v>0</v>
      </c>
      <c r="W76" s="395">
        <v>0</v>
      </c>
      <c r="X76" s="395">
        <v>0</v>
      </c>
      <c r="Y76" s="395">
        <v>0</v>
      </c>
      <c r="Z76" s="199">
        <f t="shared" si="42"/>
        <v>0</v>
      </c>
      <c r="AA76" s="199">
        <f t="shared" si="43"/>
        <v>0</v>
      </c>
      <c r="AB76" s="128">
        <f t="shared" si="49"/>
        <v>0</v>
      </c>
      <c r="AC76" s="144"/>
      <c r="AD76" s="377" t="s">
        <v>362</v>
      </c>
      <c r="AE76" s="409">
        <v>0</v>
      </c>
      <c r="AF76" s="409">
        <v>0</v>
      </c>
      <c r="AG76" s="409">
        <v>0</v>
      </c>
      <c r="AH76" s="409">
        <v>0</v>
      </c>
      <c r="AI76" s="409">
        <v>0</v>
      </c>
      <c r="AJ76" s="409">
        <v>0</v>
      </c>
      <c r="AK76" s="409">
        <v>0</v>
      </c>
      <c r="AL76" s="409">
        <v>0</v>
      </c>
      <c r="AM76" s="409">
        <v>0</v>
      </c>
      <c r="AN76" s="409">
        <v>0</v>
      </c>
      <c r="AO76" s="409">
        <v>0</v>
      </c>
      <c r="AP76" s="409">
        <v>0</v>
      </c>
      <c r="AQ76" s="199">
        <f t="shared" si="44"/>
        <v>0</v>
      </c>
      <c r="AR76" s="144"/>
      <c r="AS76" s="377" t="s">
        <v>362</v>
      </c>
      <c r="AT76" s="377">
        <v>0</v>
      </c>
      <c r="AU76" s="377"/>
      <c r="AV76" s="377">
        <v>0</v>
      </c>
      <c r="AW76" s="377">
        <v>0</v>
      </c>
      <c r="AX76" s="377">
        <v>0</v>
      </c>
      <c r="AY76" s="377">
        <v>0</v>
      </c>
      <c r="AZ76" s="377">
        <v>0</v>
      </c>
      <c r="BA76" s="377">
        <v>0</v>
      </c>
      <c r="BB76" s="377">
        <v>0</v>
      </c>
      <c r="BC76" s="129">
        <f t="shared" si="45"/>
        <v>0</v>
      </c>
      <c r="BD76" s="144"/>
      <c r="BE76" s="438"/>
      <c r="BF76" s="377" t="s">
        <v>362</v>
      </c>
      <c r="BG76" s="377">
        <v>0</v>
      </c>
      <c r="BH76" s="377">
        <v>-4993</v>
      </c>
      <c r="BI76" s="377">
        <v>0</v>
      </c>
      <c r="BJ76" s="377"/>
      <c r="BK76" s="377"/>
      <c r="BL76" s="419">
        <f t="shared" si="50"/>
        <v>-4993</v>
      </c>
      <c r="BO76" s="378" t="s">
        <v>362</v>
      </c>
    </row>
    <row r="77" spans="1:67" ht="13.5">
      <c r="A77" s="378"/>
      <c r="B77" s="144" t="s">
        <v>363</v>
      </c>
      <c r="C77" s="377">
        <v>0</v>
      </c>
      <c r="D77" s="199">
        <f t="shared" si="46"/>
        <v>82272.41</v>
      </c>
      <c r="E77" s="199">
        <f t="shared" si="47"/>
        <v>0</v>
      </c>
      <c r="F77" s="199">
        <f t="shared" si="48"/>
        <v>82272.41</v>
      </c>
      <c r="G77" s="377"/>
      <c r="H77" s="377"/>
      <c r="I77" s="345">
        <f t="shared" si="41"/>
        <v>82272.41</v>
      </c>
      <c r="J77" s="144"/>
      <c r="K77" s="144"/>
      <c r="L77" s="377" t="s">
        <v>363</v>
      </c>
      <c r="M77" s="377">
        <v>0</v>
      </c>
      <c r="N77" s="377">
        <v>809</v>
      </c>
      <c r="O77" s="377">
        <v>51019</v>
      </c>
      <c r="P77" s="377">
        <v>0</v>
      </c>
      <c r="Q77" s="628">
        <v>24119</v>
      </c>
      <c r="R77" s="377">
        <v>0</v>
      </c>
      <c r="S77" s="395">
        <v>6234</v>
      </c>
      <c r="T77" s="395">
        <v>0</v>
      </c>
      <c r="U77" s="395">
        <v>0</v>
      </c>
      <c r="V77" s="395">
        <v>91.41</v>
      </c>
      <c r="W77" s="377">
        <v>0</v>
      </c>
      <c r="X77" s="395">
        <v>0</v>
      </c>
      <c r="Y77" s="395">
        <v>0</v>
      </c>
      <c r="Z77" s="199">
        <f t="shared" si="42"/>
        <v>0</v>
      </c>
      <c r="AA77" s="199">
        <f t="shared" si="43"/>
        <v>0</v>
      </c>
      <c r="AB77" s="128">
        <f t="shared" si="49"/>
        <v>82272.41</v>
      </c>
      <c r="AC77" s="144"/>
      <c r="AD77" s="377" t="s">
        <v>363</v>
      </c>
      <c r="AE77" s="409">
        <v>0</v>
      </c>
      <c r="AF77" s="409">
        <v>0</v>
      </c>
      <c r="AG77" s="409">
        <v>0</v>
      </c>
      <c r="AH77" s="409">
        <v>0</v>
      </c>
      <c r="AI77" s="409">
        <v>0</v>
      </c>
      <c r="AJ77" s="409">
        <v>0</v>
      </c>
      <c r="AK77" s="409">
        <v>0</v>
      </c>
      <c r="AL77" s="409">
        <v>0</v>
      </c>
      <c r="AM77" s="409">
        <v>0</v>
      </c>
      <c r="AN77" s="409">
        <v>0</v>
      </c>
      <c r="AO77" s="409">
        <v>0</v>
      </c>
      <c r="AP77" s="409">
        <v>0</v>
      </c>
      <c r="AQ77" s="199">
        <f t="shared" si="44"/>
        <v>0</v>
      </c>
      <c r="AR77" s="144"/>
      <c r="AS77" s="377" t="s">
        <v>363</v>
      </c>
      <c r="AT77" s="377">
        <v>0</v>
      </c>
      <c r="AU77" s="377"/>
      <c r="AV77" s="377">
        <v>0</v>
      </c>
      <c r="AW77" s="377">
        <v>0</v>
      </c>
      <c r="AX77" s="377">
        <v>0</v>
      </c>
      <c r="AY77" s="377">
        <v>0</v>
      </c>
      <c r="AZ77" s="377">
        <v>0</v>
      </c>
      <c r="BA77" s="377">
        <v>0</v>
      </c>
      <c r="BB77" s="377">
        <v>0</v>
      </c>
      <c r="BC77" s="129">
        <f t="shared" si="45"/>
        <v>0</v>
      </c>
      <c r="BD77" s="144"/>
      <c r="BE77" s="438"/>
      <c r="BF77" s="377" t="s">
        <v>363</v>
      </c>
      <c r="BG77" s="377">
        <v>0</v>
      </c>
      <c r="BH77" s="377">
        <v>0</v>
      </c>
      <c r="BI77" s="377">
        <v>0</v>
      </c>
      <c r="BJ77" s="377"/>
      <c r="BK77" s="377"/>
      <c r="BL77" s="419">
        <f t="shared" si="50"/>
        <v>0</v>
      </c>
      <c r="BO77" s="378" t="s">
        <v>363</v>
      </c>
    </row>
    <row r="78" spans="1:67" ht="13.5">
      <c r="A78" s="378"/>
      <c r="B78" s="144" t="s">
        <v>364</v>
      </c>
      <c r="C78" s="377">
        <v>0</v>
      </c>
      <c r="D78" s="199">
        <f t="shared" si="46"/>
        <v>0</v>
      </c>
      <c r="E78" s="199">
        <f t="shared" si="47"/>
        <v>0</v>
      </c>
      <c r="F78" s="199">
        <f t="shared" si="48"/>
        <v>0</v>
      </c>
      <c r="G78" s="377"/>
      <c r="H78" s="377"/>
      <c r="I78" s="345">
        <f t="shared" si="41"/>
        <v>0</v>
      </c>
      <c r="J78" s="144"/>
      <c r="K78" s="144"/>
      <c r="L78" s="377" t="s">
        <v>364</v>
      </c>
      <c r="M78" s="377">
        <v>0</v>
      </c>
      <c r="N78" s="377">
        <v>0</v>
      </c>
      <c r="O78" s="377">
        <v>0</v>
      </c>
      <c r="P78" s="377">
        <v>0</v>
      </c>
      <c r="Q78" s="377">
        <v>0</v>
      </c>
      <c r="R78" s="377">
        <v>0</v>
      </c>
      <c r="S78" s="377">
        <v>0</v>
      </c>
      <c r="T78" s="377">
        <v>0</v>
      </c>
      <c r="U78" s="377">
        <v>0</v>
      </c>
      <c r="V78" s="377">
        <v>0</v>
      </c>
      <c r="W78" s="377">
        <v>0</v>
      </c>
      <c r="X78" s="395">
        <v>0</v>
      </c>
      <c r="Y78" s="395">
        <v>0</v>
      </c>
      <c r="Z78" s="199">
        <f t="shared" si="42"/>
        <v>0</v>
      </c>
      <c r="AA78" s="199">
        <f t="shared" si="43"/>
        <v>0</v>
      </c>
      <c r="AB78" s="128">
        <f t="shared" si="49"/>
        <v>0</v>
      </c>
      <c r="AC78" s="144"/>
      <c r="AD78" s="377" t="s">
        <v>364</v>
      </c>
      <c r="AE78" s="409">
        <v>0</v>
      </c>
      <c r="AF78" s="409">
        <v>0</v>
      </c>
      <c r="AG78" s="409">
        <v>0</v>
      </c>
      <c r="AH78" s="409">
        <v>0</v>
      </c>
      <c r="AI78" s="409">
        <v>0</v>
      </c>
      <c r="AJ78" s="409">
        <v>0</v>
      </c>
      <c r="AK78" s="409">
        <v>0</v>
      </c>
      <c r="AL78" s="409">
        <v>0</v>
      </c>
      <c r="AM78" s="409">
        <v>0</v>
      </c>
      <c r="AN78" s="409">
        <v>0</v>
      </c>
      <c r="AO78" s="409">
        <v>0</v>
      </c>
      <c r="AP78" s="409">
        <v>0</v>
      </c>
      <c r="AQ78" s="199">
        <f t="shared" si="44"/>
        <v>0</v>
      </c>
      <c r="AR78" s="144"/>
      <c r="AS78" s="377" t="s">
        <v>364</v>
      </c>
      <c r="AT78" s="377">
        <v>0</v>
      </c>
      <c r="AU78" s="377"/>
      <c r="AV78" s="377">
        <v>0</v>
      </c>
      <c r="AW78" s="377">
        <v>0</v>
      </c>
      <c r="AX78" s="377">
        <v>0</v>
      </c>
      <c r="AY78" s="377">
        <v>0</v>
      </c>
      <c r="AZ78" s="377">
        <v>0</v>
      </c>
      <c r="BA78" s="377">
        <v>0</v>
      </c>
      <c r="BB78" s="377">
        <v>0</v>
      </c>
      <c r="BC78" s="129">
        <f t="shared" si="45"/>
        <v>0</v>
      </c>
      <c r="BD78" s="144"/>
      <c r="BE78" s="438"/>
      <c r="BF78" s="377" t="s">
        <v>364</v>
      </c>
      <c r="BG78" s="377">
        <v>0</v>
      </c>
      <c r="BH78" s="377">
        <v>0</v>
      </c>
      <c r="BI78" s="377">
        <v>0</v>
      </c>
      <c r="BJ78" s="377"/>
      <c r="BK78" s="377"/>
      <c r="BL78" s="419">
        <f t="shared" si="50"/>
        <v>0</v>
      </c>
      <c r="BO78" s="378" t="s">
        <v>364</v>
      </c>
    </row>
    <row r="79" spans="1:67" ht="13.5">
      <c r="A79" s="378"/>
      <c r="B79" s="144" t="s">
        <v>365</v>
      </c>
      <c r="C79" s="377">
        <v>0</v>
      </c>
      <c r="D79" s="199">
        <f t="shared" si="46"/>
        <v>249100</v>
      </c>
      <c r="E79" s="199">
        <f t="shared" si="47"/>
        <v>0</v>
      </c>
      <c r="F79" s="199">
        <f t="shared" si="48"/>
        <v>249100</v>
      </c>
      <c r="G79" s="377"/>
      <c r="H79" s="377"/>
      <c r="I79" s="345">
        <f t="shared" si="41"/>
        <v>249100</v>
      </c>
      <c r="J79" s="144"/>
      <c r="K79" s="144"/>
      <c r="L79" s="377" t="s">
        <v>365</v>
      </c>
      <c r="M79" s="377">
        <v>0</v>
      </c>
      <c r="N79" s="377">
        <v>0</v>
      </c>
      <c r="O79" s="377">
        <v>0</v>
      </c>
      <c r="P79" s="377">
        <v>0</v>
      </c>
      <c r="Q79" s="377">
        <v>0</v>
      </c>
      <c r="R79" s="377">
        <v>0</v>
      </c>
      <c r="S79" s="377">
        <v>234100</v>
      </c>
      <c r="T79" s="377">
        <v>0</v>
      </c>
      <c r="U79" s="377">
        <v>0</v>
      </c>
      <c r="V79" s="377">
        <v>0</v>
      </c>
      <c r="W79" s="377">
        <v>0</v>
      </c>
      <c r="X79" s="395">
        <v>0</v>
      </c>
      <c r="Y79" s="395">
        <v>0</v>
      </c>
      <c r="Z79" s="199">
        <f t="shared" si="42"/>
        <v>15000</v>
      </c>
      <c r="AA79" s="199">
        <f t="shared" si="43"/>
        <v>0</v>
      </c>
      <c r="AB79" s="128">
        <f t="shared" si="49"/>
        <v>249100</v>
      </c>
      <c r="AC79" s="144"/>
      <c r="AD79" s="377" t="s">
        <v>365</v>
      </c>
      <c r="AE79" s="409">
        <v>0</v>
      </c>
      <c r="AF79" s="409">
        <v>0</v>
      </c>
      <c r="AG79" s="409">
        <v>0</v>
      </c>
      <c r="AH79" s="409">
        <v>0</v>
      </c>
      <c r="AI79" s="409">
        <v>0</v>
      </c>
      <c r="AJ79" s="409">
        <v>0</v>
      </c>
      <c r="AK79" s="409">
        <v>0</v>
      </c>
      <c r="AL79" s="409">
        <v>0</v>
      </c>
      <c r="AM79" s="409">
        <v>0</v>
      </c>
      <c r="AN79" s="377">
        <v>15000</v>
      </c>
      <c r="AO79" s="409">
        <v>0</v>
      </c>
      <c r="AP79" s="409">
        <v>0</v>
      </c>
      <c r="AQ79" s="199">
        <f t="shared" si="44"/>
        <v>15000</v>
      </c>
      <c r="AR79" s="144"/>
      <c r="AS79" s="377" t="s">
        <v>365</v>
      </c>
      <c r="AT79" s="377">
        <v>0</v>
      </c>
      <c r="AU79" s="377"/>
      <c r="AV79" s="377">
        <v>0</v>
      </c>
      <c r="AW79" s="377">
        <v>0</v>
      </c>
      <c r="AX79" s="377">
        <v>0</v>
      </c>
      <c r="AY79" s="377">
        <v>0</v>
      </c>
      <c r="AZ79" s="377">
        <v>0</v>
      </c>
      <c r="BA79" s="377">
        <v>0</v>
      </c>
      <c r="BB79" s="377">
        <v>0</v>
      </c>
      <c r="BC79" s="129">
        <f t="shared" si="45"/>
        <v>0</v>
      </c>
      <c r="BD79" s="144"/>
      <c r="BE79" s="438"/>
      <c r="BF79" s="377" t="s">
        <v>365</v>
      </c>
      <c r="BG79" s="377">
        <v>0</v>
      </c>
      <c r="BH79" s="377">
        <v>0</v>
      </c>
      <c r="BI79" s="377">
        <v>0</v>
      </c>
      <c r="BJ79" s="377"/>
      <c r="BK79" s="377"/>
      <c r="BL79" s="419">
        <f t="shared" si="50"/>
        <v>0</v>
      </c>
      <c r="BO79" s="378" t="s">
        <v>365</v>
      </c>
    </row>
    <row r="80" spans="1:67" ht="13.5">
      <c r="A80" s="378"/>
      <c r="B80" s="144" t="s">
        <v>366</v>
      </c>
      <c r="C80" s="377">
        <v>0</v>
      </c>
      <c r="D80" s="199">
        <f t="shared" si="46"/>
        <v>14251</v>
      </c>
      <c r="E80" s="199">
        <f t="shared" si="47"/>
        <v>24466</v>
      </c>
      <c r="F80" s="199">
        <f t="shared" si="48"/>
        <v>38717</v>
      </c>
      <c r="G80" s="377"/>
      <c r="H80" s="377"/>
      <c r="I80" s="345">
        <f t="shared" si="41"/>
        <v>38717</v>
      </c>
      <c r="J80" s="144"/>
      <c r="K80" s="144"/>
      <c r="L80" s="377" t="s">
        <v>366</v>
      </c>
      <c r="M80" s="377">
        <v>0</v>
      </c>
      <c r="N80" s="377">
        <v>150</v>
      </c>
      <c r="O80" s="377">
        <v>0</v>
      </c>
      <c r="P80" s="377">
        <v>0</v>
      </c>
      <c r="Q80" s="377">
        <v>0</v>
      </c>
      <c r="R80" s="377">
        <v>0</v>
      </c>
      <c r="S80" s="377">
        <v>0</v>
      </c>
      <c r="T80" s="377">
        <v>0</v>
      </c>
      <c r="U80" s="377">
        <v>0</v>
      </c>
      <c r="V80" s="377">
        <v>0</v>
      </c>
      <c r="W80" s="395">
        <v>14101</v>
      </c>
      <c r="X80" s="395">
        <v>0</v>
      </c>
      <c r="Y80" s="395">
        <v>0</v>
      </c>
      <c r="Z80" s="199">
        <f t="shared" si="42"/>
        <v>0</v>
      </c>
      <c r="AA80" s="199">
        <f t="shared" si="43"/>
        <v>0</v>
      </c>
      <c r="AB80" s="128">
        <f t="shared" si="49"/>
        <v>14251</v>
      </c>
      <c r="AC80" s="144"/>
      <c r="AD80" s="377" t="s">
        <v>366</v>
      </c>
      <c r="AE80" s="409">
        <v>0</v>
      </c>
      <c r="AF80" s="409">
        <v>0</v>
      </c>
      <c r="AG80" s="409">
        <v>0</v>
      </c>
      <c r="AH80" s="409">
        <v>0</v>
      </c>
      <c r="AI80" s="409">
        <v>0</v>
      </c>
      <c r="AJ80" s="409">
        <v>0</v>
      </c>
      <c r="AK80" s="409">
        <v>0</v>
      </c>
      <c r="AL80" s="409">
        <v>0</v>
      </c>
      <c r="AM80" s="409">
        <v>0</v>
      </c>
      <c r="AN80" s="409">
        <v>0</v>
      </c>
      <c r="AO80" s="409">
        <v>0</v>
      </c>
      <c r="AP80" s="409">
        <v>0</v>
      </c>
      <c r="AQ80" s="199">
        <f t="shared" si="44"/>
        <v>0</v>
      </c>
      <c r="AR80" s="144"/>
      <c r="AS80" s="377" t="s">
        <v>366</v>
      </c>
      <c r="AT80" s="377">
        <v>0</v>
      </c>
      <c r="AU80" s="377"/>
      <c r="AV80" s="377">
        <v>0</v>
      </c>
      <c r="AW80" s="377">
        <v>0</v>
      </c>
      <c r="AX80" s="377">
        <v>0</v>
      </c>
      <c r="AY80" s="377">
        <v>0</v>
      </c>
      <c r="AZ80" s="377">
        <v>0</v>
      </c>
      <c r="BA80" s="377">
        <v>0</v>
      </c>
      <c r="BB80" s="377">
        <v>0</v>
      </c>
      <c r="BC80" s="129">
        <f>SUM(AT80:BB80)</f>
        <v>0</v>
      </c>
      <c r="BD80" s="144"/>
      <c r="BE80" s="438"/>
      <c r="BF80" s="377" t="s">
        <v>366</v>
      </c>
      <c r="BG80" s="377">
        <v>0</v>
      </c>
      <c r="BH80" s="377">
        <v>24466</v>
      </c>
      <c r="BI80" s="377">
        <v>0</v>
      </c>
      <c r="BJ80" s="377"/>
      <c r="BK80" s="377"/>
      <c r="BL80" s="419">
        <f t="shared" si="50"/>
        <v>24466</v>
      </c>
      <c r="BO80" s="378" t="s">
        <v>366</v>
      </c>
    </row>
    <row r="81" spans="1:69" s="90" customFormat="1" ht="16.5" customHeight="1" thickBot="1">
      <c r="A81" s="139"/>
      <c r="B81" s="386"/>
      <c r="C81" s="140">
        <f>SUM(C72:C80)</f>
        <v>0</v>
      </c>
      <c r="D81" s="140">
        <f>AB81</f>
        <v>495208.41000000003</v>
      </c>
      <c r="E81" s="140">
        <f>BL81</f>
        <v>14280</v>
      </c>
      <c r="F81" s="140">
        <f>SUM(F78:F80)</f>
        <v>287817</v>
      </c>
      <c r="G81" s="140">
        <f>SUM(G78:G80)</f>
        <v>0</v>
      </c>
      <c r="H81" s="140">
        <f>SUM(H78:H80)</f>
        <v>0</v>
      </c>
      <c r="I81" s="140">
        <f>SUM(I72:I80)</f>
        <v>509488.41000000003</v>
      </c>
      <c r="J81" s="113"/>
      <c r="K81" s="113"/>
      <c r="L81" s="389"/>
      <c r="M81" s="140">
        <f>SUM(M71:M80)</f>
        <v>0</v>
      </c>
      <c r="N81" s="140">
        <f aca="true" t="shared" si="51" ref="N81:Y81">SUM(N71:N80)</f>
        <v>959</v>
      </c>
      <c r="O81" s="140">
        <f t="shared" si="51"/>
        <v>200604</v>
      </c>
      <c r="P81" s="140">
        <f t="shared" si="51"/>
        <v>0</v>
      </c>
      <c r="Q81" s="140">
        <f t="shared" si="51"/>
        <v>24119</v>
      </c>
      <c r="R81" s="140">
        <f t="shared" si="51"/>
        <v>0</v>
      </c>
      <c r="S81" s="140">
        <f t="shared" si="51"/>
        <v>240334</v>
      </c>
      <c r="T81" s="140">
        <f t="shared" si="51"/>
        <v>0</v>
      </c>
      <c r="U81" s="140">
        <f t="shared" si="51"/>
        <v>0</v>
      </c>
      <c r="V81" s="140">
        <f t="shared" si="51"/>
        <v>91.41</v>
      </c>
      <c r="W81" s="140">
        <f t="shared" si="51"/>
        <v>14101</v>
      </c>
      <c r="X81" s="140">
        <f t="shared" si="51"/>
        <v>0</v>
      </c>
      <c r="Y81" s="140">
        <f t="shared" si="51"/>
        <v>0</v>
      </c>
      <c r="Z81" s="140">
        <f>SUM(Z71:Z80)</f>
        <v>15000</v>
      </c>
      <c r="AA81" s="140">
        <f>SUM(AA71:AA80)</f>
        <v>0</v>
      </c>
      <c r="AB81" s="140">
        <f>SUM(AB71:AB80)</f>
        <v>495208.41000000003</v>
      </c>
      <c r="AC81" s="113"/>
      <c r="AD81" s="389"/>
      <c r="AE81" s="140">
        <f aca="true" t="shared" si="52" ref="AE81:AM81">SUM(AE72:AE80)</f>
        <v>0</v>
      </c>
      <c r="AF81" s="140">
        <f t="shared" si="52"/>
        <v>0</v>
      </c>
      <c r="AG81" s="140">
        <f t="shared" si="52"/>
        <v>0</v>
      </c>
      <c r="AH81" s="140">
        <f t="shared" si="52"/>
        <v>0</v>
      </c>
      <c r="AI81" s="140">
        <f t="shared" si="52"/>
        <v>0</v>
      </c>
      <c r="AJ81" s="140">
        <f t="shared" si="52"/>
        <v>0</v>
      </c>
      <c r="AK81" s="140">
        <f t="shared" si="52"/>
        <v>0</v>
      </c>
      <c r="AL81" s="140">
        <f t="shared" si="52"/>
        <v>0</v>
      </c>
      <c r="AM81" s="140">
        <f t="shared" si="52"/>
        <v>0</v>
      </c>
      <c r="AN81" s="140">
        <f>SUM(AN72:AN80)</f>
        <v>15000</v>
      </c>
      <c r="AO81" s="140">
        <f>SUM(AO72:AO80)</f>
        <v>0</v>
      </c>
      <c r="AP81" s="140">
        <f>SUM(AP72:AP80)</f>
        <v>0</v>
      </c>
      <c r="AQ81" s="140">
        <f>SUM(AQ72:AQ80)</f>
        <v>15000</v>
      </c>
      <c r="AR81" s="113"/>
      <c r="AS81" s="389"/>
      <c r="AT81" s="140">
        <f>SUM(AT72:AT80)</f>
        <v>0</v>
      </c>
      <c r="AU81" s="140"/>
      <c r="AV81" s="140">
        <f aca="true" t="shared" si="53" ref="AV81:BB81">SUM(AV72:AV80)</f>
        <v>0</v>
      </c>
      <c r="AW81" s="140">
        <f t="shared" si="53"/>
        <v>0</v>
      </c>
      <c r="AX81" s="140">
        <f t="shared" si="53"/>
        <v>0</v>
      </c>
      <c r="AY81" s="140">
        <f t="shared" si="53"/>
        <v>0</v>
      </c>
      <c r="AZ81" s="140">
        <f t="shared" si="53"/>
        <v>0</v>
      </c>
      <c r="BA81" s="140">
        <f t="shared" si="53"/>
        <v>0</v>
      </c>
      <c r="BB81" s="140">
        <f t="shared" si="53"/>
        <v>0</v>
      </c>
      <c r="BC81" s="140">
        <f>SUM(BC72:BC80)</f>
        <v>0</v>
      </c>
      <c r="BD81" s="113"/>
      <c r="BE81" s="200"/>
      <c r="BF81" s="389"/>
      <c r="BG81" s="140">
        <f>SUM(BG72:BG80)</f>
        <v>0</v>
      </c>
      <c r="BH81" s="140">
        <f>SUM(BH72:BH80)</f>
        <v>14280</v>
      </c>
      <c r="BI81" s="140">
        <f>SUM(BI72:BI80)</f>
        <v>0</v>
      </c>
      <c r="BJ81" s="140">
        <f>BJ75</f>
        <v>0</v>
      </c>
      <c r="BK81" s="140">
        <f>SUM(BK78:BK80)</f>
        <v>0</v>
      </c>
      <c r="BL81" s="623">
        <f>SUM(BL72:BL80)</f>
        <v>14280</v>
      </c>
      <c r="BM81" s="121"/>
      <c r="BN81" s="121"/>
      <c r="BO81" s="389"/>
      <c r="BP81" s="140"/>
      <c r="BQ81" s="140"/>
    </row>
    <row r="82" spans="1:67" ht="13.5" thickTop="1">
      <c r="A82" s="378"/>
      <c r="B82" s="335"/>
      <c r="C82" s="385"/>
      <c r="D82" s="385"/>
      <c r="E82" s="385"/>
      <c r="F82" s="385"/>
      <c r="G82" s="385"/>
      <c r="H82" s="385"/>
      <c r="I82" s="385"/>
      <c r="J82" s="144"/>
      <c r="K82" s="144"/>
      <c r="L82" s="390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144"/>
      <c r="AD82" s="390"/>
      <c r="AE82" s="385"/>
      <c r="AF82" s="385"/>
      <c r="AG82" s="385"/>
      <c r="AH82" s="385"/>
      <c r="AI82" s="385"/>
      <c r="AJ82" s="385"/>
      <c r="AK82" s="385"/>
      <c r="AL82" s="385"/>
      <c r="AM82" s="385"/>
      <c r="AN82" s="385"/>
      <c r="AO82" s="385"/>
      <c r="AP82" s="385"/>
      <c r="AQ82" s="385"/>
      <c r="AR82" s="144"/>
      <c r="AS82" s="390"/>
      <c r="AT82" s="377"/>
      <c r="AU82" s="377"/>
      <c r="AV82" s="377"/>
      <c r="AW82" s="377"/>
      <c r="AX82" s="377"/>
      <c r="AY82" s="377"/>
      <c r="AZ82" s="377"/>
      <c r="BA82" s="377"/>
      <c r="BB82" s="377"/>
      <c r="BC82" s="377"/>
      <c r="BD82" s="144"/>
      <c r="BE82" s="438"/>
      <c r="BF82" s="390"/>
      <c r="BG82" s="385"/>
      <c r="BH82" s="385"/>
      <c r="BI82" s="385"/>
      <c r="BJ82" s="385"/>
      <c r="BK82" s="385"/>
      <c r="BL82" s="385"/>
      <c r="BO82" s="393"/>
    </row>
    <row r="83" spans="1:67" ht="12.75">
      <c r="A83" s="378"/>
      <c r="B83" s="373" t="s">
        <v>367</v>
      </c>
      <c r="C83" s="377"/>
      <c r="D83" s="377"/>
      <c r="E83" s="377"/>
      <c r="F83" s="377"/>
      <c r="G83" s="377"/>
      <c r="H83" s="377"/>
      <c r="I83" s="377"/>
      <c r="J83" s="144"/>
      <c r="K83" s="144"/>
      <c r="L83" s="391" t="s">
        <v>367</v>
      </c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144"/>
      <c r="AD83" s="391" t="s">
        <v>367</v>
      </c>
      <c r="AE83" s="377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377"/>
      <c r="AQ83" s="377"/>
      <c r="AR83" s="144"/>
      <c r="AS83" s="391" t="s">
        <v>367</v>
      </c>
      <c r="AT83" s="377"/>
      <c r="AU83" s="377"/>
      <c r="AV83" s="377"/>
      <c r="AW83" s="377"/>
      <c r="AX83" s="377"/>
      <c r="AY83" s="377"/>
      <c r="AZ83" s="377"/>
      <c r="BA83" s="377"/>
      <c r="BB83" s="377"/>
      <c r="BC83" s="377"/>
      <c r="BD83" s="144"/>
      <c r="BE83" s="438"/>
      <c r="BF83" s="391" t="s">
        <v>367</v>
      </c>
      <c r="BG83" s="377"/>
      <c r="BH83" s="377"/>
      <c r="BI83" s="377"/>
      <c r="BJ83" s="377"/>
      <c r="BK83" s="377"/>
      <c r="BL83" s="377"/>
      <c r="BO83" s="394" t="s">
        <v>367</v>
      </c>
    </row>
    <row r="84" spans="1:67" ht="13.5">
      <c r="A84" s="378"/>
      <c r="B84" s="335" t="s">
        <v>368</v>
      </c>
      <c r="C84" s="377">
        <v>105757</v>
      </c>
      <c r="D84" s="199">
        <f aca="true" t="shared" si="54" ref="D84:D89">AB84</f>
        <v>892254.89</v>
      </c>
      <c r="E84" s="199">
        <f aca="true" t="shared" si="55" ref="E84:E89">BL84</f>
        <v>254614</v>
      </c>
      <c r="F84" s="199">
        <f>SUM(C84:E84)</f>
        <v>1252625.8900000001</v>
      </c>
      <c r="G84" s="377"/>
      <c r="H84" s="377"/>
      <c r="I84" s="345">
        <f>F84-G84+H84</f>
        <v>1252625.8900000001</v>
      </c>
      <c r="J84" s="411"/>
      <c r="K84" s="144"/>
      <c r="L84" s="390" t="s">
        <v>368</v>
      </c>
      <c r="M84" s="377">
        <v>57858</v>
      </c>
      <c r="N84" s="377">
        <v>7851</v>
      </c>
      <c r="O84" s="377">
        <v>135066</v>
      </c>
      <c r="P84" s="377">
        <v>0</v>
      </c>
      <c r="Q84" s="377">
        <v>0</v>
      </c>
      <c r="R84" s="377">
        <v>154745</v>
      </c>
      <c r="S84" s="129">
        <v>219685</v>
      </c>
      <c r="T84" s="129">
        <f aca="true" t="shared" si="56" ref="T84:U87">AK84</f>
        <v>0</v>
      </c>
      <c r="U84" s="129">
        <f t="shared" si="56"/>
        <v>0</v>
      </c>
      <c r="V84" s="377">
        <f>15928.45+124958.44</f>
        <v>140886.89</v>
      </c>
      <c r="W84" s="377">
        <v>176163</v>
      </c>
      <c r="X84" s="377">
        <v>0</v>
      </c>
      <c r="Y84" s="377">
        <v>0</v>
      </c>
      <c r="Z84" s="129">
        <f>AQ84</f>
        <v>0</v>
      </c>
      <c r="AA84" s="129">
        <f>BC84</f>
        <v>0</v>
      </c>
      <c r="AB84" s="129">
        <f>SUM(M84:AA84)</f>
        <v>892254.89</v>
      </c>
      <c r="AC84" s="144"/>
      <c r="AD84" s="390" t="s">
        <v>368</v>
      </c>
      <c r="AE84" s="377">
        <v>0</v>
      </c>
      <c r="AF84" s="377">
        <v>0</v>
      </c>
      <c r="AG84" s="377">
        <v>0</v>
      </c>
      <c r="AH84" s="377">
        <v>0</v>
      </c>
      <c r="AI84" s="377">
        <v>0</v>
      </c>
      <c r="AJ84" s="377">
        <v>0</v>
      </c>
      <c r="AK84" s="377">
        <v>0</v>
      </c>
      <c r="AL84" s="377">
        <v>0</v>
      </c>
      <c r="AM84" s="377">
        <v>0</v>
      </c>
      <c r="AN84" s="377">
        <v>0</v>
      </c>
      <c r="AO84" s="377">
        <v>0</v>
      </c>
      <c r="AP84" s="377">
        <v>0</v>
      </c>
      <c r="AQ84" s="199">
        <f>SUM(AE84:AP84)</f>
        <v>0</v>
      </c>
      <c r="AR84" s="144"/>
      <c r="AS84" s="390" t="s">
        <v>368</v>
      </c>
      <c r="AT84" s="377">
        <v>0</v>
      </c>
      <c r="AU84" s="377"/>
      <c r="AV84" s="377">
        <v>0</v>
      </c>
      <c r="AW84" s="377">
        <v>0</v>
      </c>
      <c r="AX84" s="377">
        <v>0</v>
      </c>
      <c r="AY84" s="377">
        <v>0</v>
      </c>
      <c r="AZ84" s="377">
        <v>0</v>
      </c>
      <c r="BA84" s="377">
        <v>0</v>
      </c>
      <c r="BB84" s="377">
        <v>0</v>
      </c>
      <c r="BC84" s="129">
        <f>SUM(AT84:BB84)</f>
        <v>0</v>
      </c>
      <c r="BD84" s="144"/>
      <c r="BE84" s="438"/>
      <c r="BF84" s="390" t="s">
        <v>368</v>
      </c>
      <c r="BG84" s="377">
        <v>0</v>
      </c>
      <c r="BH84" s="377">
        <v>254614</v>
      </c>
      <c r="BI84" s="377">
        <v>0</v>
      </c>
      <c r="BJ84" s="377"/>
      <c r="BK84" s="377"/>
      <c r="BL84" s="419">
        <f>SUM(BG84:BK84)</f>
        <v>254614</v>
      </c>
      <c r="BO84" s="393" t="s">
        <v>368</v>
      </c>
    </row>
    <row r="85" spans="1:67" ht="13.5">
      <c r="A85" s="378"/>
      <c r="B85" s="335" t="s">
        <v>369</v>
      </c>
      <c r="C85" s="377">
        <v>123926</v>
      </c>
      <c r="D85" s="199">
        <f t="shared" si="54"/>
        <v>1093644.76</v>
      </c>
      <c r="E85" s="199">
        <f t="shared" si="55"/>
        <v>221717</v>
      </c>
      <c r="F85" s="199">
        <f>SUM(C85:E85)</f>
        <v>1439287.76</v>
      </c>
      <c r="G85" s="377"/>
      <c r="H85" s="377"/>
      <c r="I85" s="345">
        <f>F85-G85+H85</f>
        <v>1439287.76</v>
      </c>
      <c r="J85" s="411"/>
      <c r="K85" s="144"/>
      <c r="L85" s="390" t="s">
        <v>369</v>
      </c>
      <c r="M85" s="377">
        <v>168323</v>
      </c>
      <c r="N85" s="377">
        <v>7940</v>
      </c>
      <c r="O85" s="377">
        <v>82720</v>
      </c>
      <c r="P85" s="377">
        <v>23576</v>
      </c>
      <c r="Q85" s="377">
        <v>93</v>
      </c>
      <c r="R85" s="377">
        <v>57117</v>
      </c>
      <c r="S85" s="129">
        <v>289718</v>
      </c>
      <c r="T85" s="129">
        <v>7459</v>
      </c>
      <c r="U85" s="377">
        <v>0</v>
      </c>
      <c r="V85" s="377">
        <f>197188.7-V84-V86-V87</f>
        <v>38289.509999999995</v>
      </c>
      <c r="W85" s="377">
        <v>373382</v>
      </c>
      <c r="X85" s="377">
        <v>0</v>
      </c>
      <c r="Y85" s="377">
        <v>0</v>
      </c>
      <c r="Z85" s="129">
        <f>AQ85</f>
        <v>44227.25</v>
      </c>
      <c r="AA85" s="129">
        <f>BC85</f>
        <v>800</v>
      </c>
      <c r="AB85" s="129">
        <f>SUM(M85:AA85)</f>
        <v>1093644.76</v>
      </c>
      <c r="AC85" s="144"/>
      <c r="AD85" s="390" t="s">
        <v>369</v>
      </c>
      <c r="AE85" s="377">
        <v>0</v>
      </c>
      <c r="AF85" s="377">
        <v>0</v>
      </c>
      <c r="AG85" s="377">
        <v>0</v>
      </c>
      <c r="AH85" s="377">
        <v>600</v>
      </c>
      <c r="AI85" s="377">
        <v>400</v>
      </c>
      <c r="AJ85" s="377">
        <v>400</v>
      </c>
      <c r="AK85" s="377">
        <v>0</v>
      </c>
      <c r="AL85" s="377">
        <v>0</v>
      </c>
      <c r="AM85" s="377">
        <v>0</v>
      </c>
      <c r="AN85" s="377">
        <v>42827.25</v>
      </c>
      <c r="AO85" s="377">
        <v>0</v>
      </c>
      <c r="AP85" s="377">
        <v>0</v>
      </c>
      <c r="AQ85" s="199">
        <f>SUM(AE85:AP85)</f>
        <v>44227.25</v>
      </c>
      <c r="AR85" s="144"/>
      <c r="AS85" s="390" t="s">
        <v>369</v>
      </c>
      <c r="AT85" s="377">
        <v>0</v>
      </c>
      <c r="AU85" s="377"/>
      <c r="AV85" s="377">
        <v>400</v>
      </c>
      <c r="AW85" s="377">
        <v>400</v>
      </c>
      <c r="AX85" s="377">
        <v>0</v>
      </c>
      <c r="AY85" s="377">
        <v>0</v>
      </c>
      <c r="AZ85" s="377">
        <v>0</v>
      </c>
      <c r="BA85" s="377">
        <v>0</v>
      </c>
      <c r="BB85" s="377">
        <v>0</v>
      </c>
      <c r="BC85" s="129">
        <f>SUM(AT85:BB85)</f>
        <v>800</v>
      </c>
      <c r="BD85" s="144"/>
      <c r="BE85" s="438"/>
      <c r="BF85" s="390" t="s">
        <v>369</v>
      </c>
      <c r="BG85" s="377">
        <v>0</v>
      </c>
      <c r="BH85" s="377">
        <v>221717</v>
      </c>
      <c r="BI85" s="377">
        <v>0</v>
      </c>
      <c r="BJ85" s="377"/>
      <c r="BK85" s="377"/>
      <c r="BL85" s="419">
        <f>SUM(BG85:BK85)</f>
        <v>221717</v>
      </c>
      <c r="BO85" s="393" t="s">
        <v>369</v>
      </c>
    </row>
    <row r="86" spans="1:67" ht="13.5">
      <c r="A86" s="378"/>
      <c r="B86" s="335" t="s">
        <v>370</v>
      </c>
      <c r="C86" s="377">
        <v>2302452</v>
      </c>
      <c r="D86" s="199">
        <f t="shared" si="54"/>
        <v>5503260.5</v>
      </c>
      <c r="E86" s="199">
        <f t="shared" si="55"/>
        <v>1671827.7400000002</v>
      </c>
      <c r="F86" s="199">
        <f>SUM(C86:E86)</f>
        <v>9477540.24</v>
      </c>
      <c r="G86" s="377"/>
      <c r="H86" s="377"/>
      <c r="I86" s="345">
        <f>F86-G86+H86</f>
        <v>9477540.24</v>
      </c>
      <c r="J86" s="411"/>
      <c r="K86" s="144"/>
      <c r="L86" s="390" t="s">
        <v>370</v>
      </c>
      <c r="M86" s="377">
        <v>23</v>
      </c>
      <c r="N86" s="377">
        <v>43</v>
      </c>
      <c r="O86" s="377">
        <v>1442438</v>
      </c>
      <c r="P86" s="377">
        <v>0</v>
      </c>
      <c r="Q86" s="377">
        <v>55</v>
      </c>
      <c r="R86" s="377">
        <v>24</v>
      </c>
      <c r="S86" s="129">
        <v>2841806</v>
      </c>
      <c r="T86" s="129">
        <v>7.5</v>
      </c>
      <c r="U86" s="129">
        <f t="shared" si="56"/>
        <v>0</v>
      </c>
      <c r="V86" s="377">
        <v>1470</v>
      </c>
      <c r="W86" s="377">
        <v>1217394</v>
      </c>
      <c r="X86" s="377">
        <v>0</v>
      </c>
      <c r="Y86" s="377">
        <v>0</v>
      </c>
      <c r="Z86" s="129">
        <f>AQ86</f>
        <v>0</v>
      </c>
      <c r="AA86" s="129">
        <f>BC86</f>
        <v>0</v>
      </c>
      <c r="AB86" s="129">
        <f>SUM(M86:AA86)</f>
        <v>5503260.5</v>
      </c>
      <c r="AC86" s="144"/>
      <c r="AD86" s="390" t="s">
        <v>370</v>
      </c>
      <c r="AE86" s="377">
        <v>0</v>
      </c>
      <c r="AF86" s="377">
        <v>0</v>
      </c>
      <c r="AG86" s="377">
        <v>0</v>
      </c>
      <c r="AH86" s="377">
        <v>0</v>
      </c>
      <c r="AI86" s="377">
        <v>0</v>
      </c>
      <c r="AJ86" s="377">
        <v>0</v>
      </c>
      <c r="AK86" s="377">
        <v>0</v>
      </c>
      <c r="AL86" s="377">
        <v>0</v>
      </c>
      <c r="AM86" s="377">
        <v>0</v>
      </c>
      <c r="AN86" s="377">
        <v>0</v>
      </c>
      <c r="AO86" s="377">
        <v>0</v>
      </c>
      <c r="AP86" s="377">
        <v>0</v>
      </c>
      <c r="AQ86" s="199">
        <f>SUM(AE86:AP86)</f>
        <v>0</v>
      </c>
      <c r="AR86" s="144"/>
      <c r="AS86" s="390" t="s">
        <v>370</v>
      </c>
      <c r="AT86" s="377">
        <v>0</v>
      </c>
      <c r="AU86" s="377"/>
      <c r="AV86" s="377">
        <v>0</v>
      </c>
      <c r="AW86" s="377">
        <v>0</v>
      </c>
      <c r="AX86" s="377">
        <v>0</v>
      </c>
      <c r="AY86" s="377">
        <v>0</v>
      </c>
      <c r="AZ86" s="377">
        <v>0</v>
      </c>
      <c r="BA86" s="377">
        <v>0</v>
      </c>
      <c r="BB86" s="377">
        <v>0</v>
      </c>
      <c r="BC86" s="129">
        <f>SUM(AT86:BB86)</f>
        <v>0</v>
      </c>
      <c r="BD86" s="144"/>
      <c r="BE86" s="438"/>
      <c r="BF86" s="390" t="s">
        <v>370</v>
      </c>
      <c r="BG86" s="377">
        <v>84895.65</v>
      </c>
      <c r="BH86" s="377">
        <v>178954</v>
      </c>
      <c r="BI86" s="377">
        <v>1407978.09</v>
      </c>
      <c r="BJ86" s="377"/>
      <c r="BK86" s="377"/>
      <c r="BL86" s="419">
        <f>SUM(BG86:BK86)</f>
        <v>1671827.7400000002</v>
      </c>
      <c r="BO86" s="393" t="s">
        <v>370</v>
      </c>
    </row>
    <row r="87" spans="1:67" ht="13.5">
      <c r="A87" s="378"/>
      <c r="B87" s="335" t="s">
        <v>47</v>
      </c>
      <c r="C87" s="377">
        <v>20947</v>
      </c>
      <c r="D87" s="199">
        <f t="shared" si="54"/>
        <v>253870</v>
      </c>
      <c r="E87" s="199">
        <f t="shared" si="55"/>
        <v>79024</v>
      </c>
      <c r="F87" s="199">
        <f>SUM(C87:E87)</f>
        <v>353841</v>
      </c>
      <c r="G87" s="377"/>
      <c r="H87" s="377"/>
      <c r="I87" s="345">
        <f>F87-G87+H87</f>
        <v>353841</v>
      </c>
      <c r="J87" s="411"/>
      <c r="K87" s="144"/>
      <c r="L87" s="390" t="s">
        <v>47</v>
      </c>
      <c r="M87" s="377">
        <v>2440</v>
      </c>
      <c r="N87" s="377">
        <v>12650</v>
      </c>
      <c r="O87" s="377">
        <v>35093</v>
      </c>
      <c r="P87" s="377">
        <v>26966</v>
      </c>
      <c r="Q87" s="377">
        <v>135</v>
      </c>
      <c r="R87" s="377">
        <v>2368</v>
      </c>
      <c r="S87" s="129">
        <v>29033</v>
      </c>
      <c r="T87" s="129">
        <f t="shared" si="56"/>
        <v>0</v>
      </c>
      <c r="U87" s="129">
        <f t="shared" si="56"/>
        <v>0</v>
      </c>
      <c r="V87" s="377">
        <v>16542.3</v>
      </c>
      <c r="W87" s="377">
        <v>127193</v>
      </c>
      <c r="X87" s="377">
        <v>0</v>
      </c>
      <c r="Y87" s="377">
        <v>0</v>
      </c>
      <c r="Z87" s="129">
        <f>AQ87</f>
        <v>1449.7</v>
      </c>
      <c r="AA87" s="129">
        <f>BC87</f>
        <v>0</v>
      </c>
      <c r="AB87" s="129">
        <f>SUM(M87:AA87)</f>
        <v>253870</v>
      </c>
      <c r="AC87" s="144"/>
      <c r="AD87" s="390" t="s">
        <v>47</v>
      </c>
      <c r="AE87" s="377">
        <v>0</v>
      </c>
      <c r="AF87" s="377">
        <v>0</v>
      </c>
      <c r="AG87" s="377">
        <v>0</v>
      </c>
      <c r="AH87" s="377">
        <v>0</v>
      </c>
      <c r="AI87" s="377">
        <v>0</v>
      </c>
      <c r="AJ87" s="377">
        <v>0</v>
      </c>
      <c r="AK87" s="377">
        <v>0</v>
      </c>
      <c r="AL87" s="377">
        <v>0</v>
      </c>
      <c r="AM87" s="377">
        <v>1449.7</v>
      </c>
      <c r="AN87" s="377">
        <v>0</v>
      </c>
      <c r="AO87" s="377">
        <v>0</v>
      </c>
      <c r="AP87" s="377">
        <v>0</v>
      </c>
      <c r="AQ87" s="199">
        <f>SUM(AE87:AP87)</f>
        <v>1449.7</v>
      </c>
      <c r="AR87" s="144"/>
      <c r="AS87" s="390" t="s">
        <v>47</v>
      </c>
      <c r="AT87" s="377">
        <v>0</v>
      </c>
      <c r="AU87" s="377"/>
      <c r="AV87" s="377">
        <v>0</v>
      </c>
      <c r="AW87" s="377">
        <v>0</v>
      </c>
      <c r="AX87" s="377">
        <v>0</v>
      </c>
      <c r="AY87" s="377">
        <v>0</v>
      </c>
      <c r="AZ87" s="377">
        <v>0</v>
      </c>
      <c r="BA87" s="377">
        <v>0</v>
      </c>
      <c r="BB87" s="377">
        <v>0</v>
      </c>
      <c r="BC87" s="129">
        <f>SUM(AT87:BB87)</f>
        <v>0</v>
      </c>
      <c r="BD87" s="144"/>
      <c r="BE87" s="438"/>
      <c r="BF87" s="390" t="s">
        <v>47</v>
      </c>
      <c r="BG87" s="377">
        <v>0</v>
      </c>
      <c r="BH87" s="377">
        <v>79024</v>
      </c>
      <c r="BI87" s="377">
        <v>0</v>
      </c>
      <c r="BJ87" s="377"/>
      <c r="BK87" s="377"/>
      <c r="BL87" s="419">
        <f>SUM(BG87:BK87)</f>
        <v>79024</v>
      </c>
      <c r="BO87" s="393" t="s">
        <v>47</v>
      </c>
    </row>
    <row r="88" spans="1:67" ht="13.5">
      <c r="A88" s="378"/>
      <c r="B88" s="335" t="s">
        <v>371</v>
      </c>
      <c r="C88" s="377">
        <v>0</v>
      </c>
      <c r="D88" s="199">
        <f t="shared" si="54"/>
        <v>-655</v>
      </c>
      <c r="E88" s="199">
        <f t="shared" si="55"/>
        <v>4727</v>
      </c>
      <c r="F88" s="199">
        <f>SUM(C88:E88)</f>
        <v>4072</v>
      </c>
      <c r="G88" s="377"/>
      <c r="H88" s="377"/>
      <c r="I88" s="345">
        <f>F88-G88+H88</f>
        <v>4072</v>
      </c>
      <c r="J88" s="411"/>
      <c r="K88" s="144"/>
      <c r="L88" s="390" t="s">
        <v>371</v>
      </c>
      <c r="M88" s="379"/>
      <c r="N88" s="379">
        <v>0</v>
      </c>
      <c r="O88" s="129">
        <f aca="true" t="shared" si="57" ref="O88:Y88">AF88</f>
        <v>0</v>
      </c>
      <c r="P88" s="129">
        <v>0</v>
      </c>
      <c r="Q88" s="129">
        <f t="shared" si="57"/>
        <v>0</v>
      </c>
      <c r="R88" s="129">
        <f t="shared" si="57"/>
        <v>0</v>
      </c>
      <c r="S88" s="129">
        <f t="shared" si="57"/>
        <v>0</v>
      </c>
      <c r="T88" s="129">
        <f t="shared" si="57"/>
        <v>0</v>
      </c>
      <c r="U88" s="129">
        <f t="shared" si="57"/>
        <v>0</v>
      </c>
      <c r="V88" s="129">
        <f t="shared" si="57"/>
        <v>0</v>
      </c>
      <c r="W88" s="129">
        <v>-655</v>
      </c>
      <c r="X88" s="129">
        <f t="shared" si="57"/>
        <v>0</v>
      </c>
      <c r="Y88" s="129">
        <f t="shared" si="57"/>
        <v>0</v>
      </c>
      <c r="Z88" s="129">
        <f>AQ88</f>
        <v>0</v>
      </c>
      <c r="AA88" s="129">
        <f>BC88</f>
        <v>0</v>
      </c>
      <c r="AB88" s="129">
        <f>SUM(M88:AA88)</f>
        <v>-655</v>
      </c>
      <c r="AC88" s="144"/>
      <c r="AD88" s="390" t="s">
        <v>371</v>
      </c>
      <c r="AE88" s="377">
        <v>0</v>
      </c>
      <c r="AF88" s="377">
        <v>0</v>
      </c>
      <c r="AG88" s="377">
        <v>0</v>
      </c>
      <c r="AH88" s="377">
        <v>0</v>
      </c>
      <c r="AI88" s="377">
        <v>0</v>
      </c>
      <c r="AJ88" s="377">
        <v>0</v>
      </c>
      <c r="AK88" s="377">
        <v>0</v>
      </c>
      <c r="AL88" s="377">
        <v>0</v>
      </c>
      <c r="AM88" s="377">
        <v>0</v>
      </c>
      <c r="AN88" s="377">
        <v>0</v>
      </c>
      <c r="AO88" s="377">
        <v>0</v>
      </c>
      <c r="AP88" s="377">
        <v>0</v>
      </c>
      <c r="AQ88" s="199">
        <f>SUM(AE88:AP88)</f>
        <v>0</v>
      </c>
      <c r="AR88" s="144"/>
      <c r="AS88" s="390" t="s">
        <v>371</v>
      </c>
      <c r="AT88" s="377">
        <v>0</v>
      </c>
      <c r="AU88" s="377"/>
      <c r="AV88" s="377">
        <v>0</v>
      </c>
      <c r="AW88" s="377">
        <v>0</v>
      </c>
      <c r="AX88" s="377">
        <v>0</v>
      </c>
      <c r="AY88" s="377">
        <v>0</v>
      </c>
      <c r="AZ88" s="377">
        <v>0</v>
      </c>
      <c r="BA88" s="377">
        <v>0</v>
      </c>
      <c r="BB88" s="377">
        <v>0</v>
      </c>
      <c r="BC88" s="129">
        <f>SUM(AT88:BB88)</f>
        <v>0</v>
      </c>
      <c r="BD88" s="144"/>
      <c r="BE88" s="438"/>
      <c r="BF88" s="390" t="s">
        <v>371</v>
      </c>
      <c r="BG88" s="377">
        <v>0</v>
      </c>
      <c r="BH88" s="377">
        <v>4727</v>
      </c>
      <c r="BI88" s="377">
        <v>0</v>
      </c>
      <c r="BJ88" s="377"/>
      <c r="BK88" s="377"/>
      <c r="BL88" s="419">
        <f>SUM(BG88:BK88)</f>
        <v>4727</v>
      </c>
      <c r="BO88" s="393" t="s">
        <v>371</v>
      </c>
    </row>
    <row r="89" spans="1:69" s="90" customFormat="1" ht="16.5" customHeight="1" thickBot="1">
      <c r="A89" s="139"/>
      <c r="B89" s="386"/>
      <c r="C89" s="140">
        <f>SUM(C84:C88)</f>
        <v>2553082</v>
      </c>
      <c r="D89" s="140">
        <f t="shared" si="54"/>
        <v>6850120.26</v>
      </c>
      <c r="E89" s="140">
        <f t="shared" si="55"/>
        <v>1755578.7400000002</v>
      </c>
      <c r="F89" s="140">
        <f>SUM(F84:F88)</f>
        <v>12527366.89</v>
      </c>
      <c r="G89" s="140">
        <f>SUM(G84:G88)</f>
        <v>0</v>
      </c>
      <c r="H89" s="140">
        <f>SUM(H84:H88)</f>
        <v>0</v>
      </c>
      <c r="I89" s="140">
        <f>SUM(I84:I88)</f>
        <v>12527366.89</v>
      </c>
      <c r="J89" s="563"/>
      <c r="K89" s="113"/>
      <c r="L89" s="120"/>
      <c r="M89" s="140">
        <f>SUM(M84:M88)</f>
        <v>228644</v>
      </c>
      <c r="N89" s="140">
        <f aca="true" t="shared" si="58" ref="N89:Y89">SUM(N84:N88)</f>
        <v>28484</v>
      </c>
      <c r="O89" s="140">
        <f t="shared" si="58"/>
        <v>1695317</v>
      </c>
      <c r="P89" s="140">
        <f t="shared" si="58"/>
        <v>50542</v>
      </c>
      <c r="Q89" s="140">
        <f t="shared" si="58"/>
        <v>283</v>
      </c>
      <c r="R89" s="140">
        <f t="shared" si="58"/>
        <v>214254</v>
      </c>
      <c r="S89" s="140">
        <f t="shared" si="58"/>
        <v>3380242</v>
      </c>
      <c r="T89" s="140">
        <f t="shared" si="58"/>
        <v>7466.5</v>
      </c>
      <c r="U89" s="140">
        <f t="shared" si="58"/>
        <v>0</v>
      </c>
      <c r="V89" s="140">
        <f t="shared" si="58"/>
        <v>197188.7</v>
      </c>
      <c r="W89" s="405">
        <f t="shared" si="58"/>
        <v>1893477</v>
      </c>
      <c r="X89" s="405">
        <f t="shared" si="58"/>
        <v>0</v>
      </c>
      <c r="Y89" s="405">
        <f t="shared" si="58"/>
        <v>0</v>
      </c>
      <c r="Z89" s="140">
        <f>SUM(Z85:Z88)</f>
        <v>45676.95</v>
      </c>
      <c r="AA89" s="141">
        <f>SUM(AA85:AA88)</f>
        <v>800</v>
      </c>
      <c r="AB89" s="141">
        <f>SUM(AB85:AB88)</f>
        <v>6850120.26</v>
      </c>
      <c r="AC89" s="113"/>
      <c r="AD89" s="120"/>
      <c r="AE89" s="405">
        <f>SUM(AE84:AE88)</f>
        <v>0</v>
      </c>
      <c r="AF89" s="405">
        <f>SUM(AF84:AF88)</f>
        <v>0</v>
      </c>
      <c r="AG89" s="405">
        <f aca="true" t="shared" si="59" ref="AG89:AL89">SUM(AG84:AG88)</f>
        <v>0</v>
      </c>
      <c r="AH89" s="405">
        <f t="shared" si="59"/>
        <v>600</v>
      </c>
      <c r="AI89" s="405">
        <f t="shared" si="59"/>
        <v>400</v>
      </c>
      <c r="AJ89" s="405">
        <f t="shared" si="59"/>
        <v>400</v>
      </c>
      <c r="AK89" s="405">
        <f t="shared" si="59"/>
        <v>0</v>
      </c>
      <c r="AL89" s="405">
        <f t="shared" si="59"/>
        <v>0</v>
      </c>
      <c r="AM89" s="140">
        <f>SUM(AM84:AM88)</f>
        <v>1449.7</v>
      </c>
      <c r="AN89" s="140">
        <f>SUM(AN84:AN88)</f>
        <v>42827.25</v>
      </c>
      <c r="AO89" s="140">
        <f>SUM(AO84:AO88)</f>
        <v>0</v>
      </c>
      <c r="AP89" s="140">
        <f>SUM(AP84:AP88)</f>
        <v>0</v>
      </c>
      <c r="AQ89" s="406">
        <f>SUM(AQ84:AQ88)</f>
        <v>45676.95</v>
      </c>
      <c r="AR89" s="113"/>
      <c r="AS89" s="120"/>
      <c r="AT89" s="140">
        <f aca="true" t="shared" si="60" ref="AT89:BC89">SUM(AT84:AT88)</f>
        <v>0</v>
      </c>
      <c r="AU89" s="140"/>
      <c r="AV89" s="140">
        <f t="shared" si="60"/>
        <v>400</v>
      </c>
      <c r="AW89" s="140">
        <f t="shared" si="60"/>
        <v>400</v>
      </c>
      <c r="AX89" s="140">
        <f t="shared" si="60"/>
        <v>0</v>
      </c>
      <c r="AY89" s="140">
        <f t="shared" si="60"/>
        <v>0</v>
      </c>
      <c r="AZ89" s="140">
        <f t="shared" si="60"/>
        <v>0</v>
      </c>
      <c r="BA89" s="140">
        <f t="shared" si="60"/>
        <v>0</v>
      </c>
      <c r="BB89" s="140">
        <f t="shared" si="60"/>
        <v>0</v>
      </c>
      <c r="BC89" s="140">
        <f t="shared" si="60"/>
        <v>800</v>
      </c>
      <c r="BD89" s="113"/>
      <c r="BE89" s="200"/>
      <c r="BF89" s="120"/>
      <c r="BG89" s="405">
        <f>SUM(BG84:BG88)</f>
        <v>84895.65</v>
      </c>
      <c r="BH89" s="405">
        <f>SUM(BH84:BH88)</f>
        <v>739036</v>
      </c>
      <c r="BI89" s="405">
        <f>SUM(BI84:BI88)</f>
        <v>1407978.09</v>
      </c>
      <c r="BJ89" s="140">
        <f>BJ83</f>
        <v>0</v>
      </c>
      <c r="BK89" s="140">
        <f>SUM(BK86:BK88)</f>
        <v>0</v>
      </c>
      <c r="BL89" s="405">
        <f>SUM(BL86:BL88)</f>
        <v>1755578.7400000002</v>
      </c>
      <c r="BM89" s="121"/>
      <c r="BN89" s="121"/>
      <c r="BO89" s="139"/>
      <c r="BP89" s="140"/>
      <c r="BQ89" s="140"/>
    </row>
    <row r="90" spans="1:69" s="90" customFormat="1" ht="16.5" customHeight="1" thickTop="1">
      <c r="A90" s="125"/>
      <c r="B90" s="136"/>
      <c r="C90" s="121"/>
      <c r="D90" s="121"/>
      <c r="E90" s="121"/>
      <c r="F90" s="121"/>
      <c r="G90" s="121"/>
      <c r="H90" s="121"/>
      <c r="I90" s="121"/>
      <c r="J90" s="411"/>
      <c r="K90" s="113"/>
      <c r="L90" s="125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349"/>
      <c r="X90" s="349"/>
      <c r="Y90" s="349"/>
      <c r="Z90" s="121"/>
      <c r="AA90" s="121"/>
      <c r="AB90" s="121"/>
      <c r="AC90" s="113"/>
      <c r="AD90" s="125"/>
      <c r="AE90" s="349"/>
      <c r="AF90" s="349"/>
      <c r="AG90" s="349"/>
      <c r="AH90" s="349"/>
      <c r="AI90" s="349"/>
      <c r="AJ90" s="349"/>
      <c r="AK90" s="349"/>
      <c r="AL90" s="349"/>
      <c r="AM90" s="121"/>
      <c r="AN90" s="121"/>
      <c r="AO90" s="121"/>
      <c r="AP90" s="121"/>
      <c r="AQ90" s="430"/>
      <c r="AR90" s="113"/>
      <c r="AS90" s="125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13"/>
      <c r="BE90" s="200"/>
      <c r="BF90" s="125"/>
      <c r="BG90" s="349"/>
      <c r="BH90" s="349"/>
      <c r="BI90" s="349"/>
      <c r="BJ90" s="121"/>
      <c r="BK90" s="121"/>
      <c r="BL90" s="349"/>
      <c r="BM90" s="121"/>
      <c r="BN90" s="121"/>
      <c r="BO90" s="125"/>
      <c r="BP90" s="121"/>
      <c r="BQ90" s="121"/>
    </row>
    <row r="91" spans="1:69" s="90" customFormat="1" ht="16.5" customHeight="1">
      <c r="A91" s="125"/>
      <c r="B91" s="136"/>
      <c r="C91" s="121">
        <f>C10-C81</f>
        <v>0</v>
      </c>
      <c r="D91" s="121">
        <f aca="true" t="shared" si="61" ref="D91:BL91">D10-D81</f>
        <v>0</v>
      </c>
      <c r="E91" s="121">
        <f t="shared" si="61"/>
        <v>0</v>
      </c>
      <c r="F91" s="121">
        <f t="shared" si="61"/>
        <v>221671.40999999997</v>
      </c>
      <c r="G91" s="121">
        <f t="shared" si="61"/>
        <v>0</v>
      </c>
      <c r="H91" s="121">
        <f t="shared" si="61"/>
        <v>0</v>
      </c>
      <c r="I91" s="121">
        <f t="shared" si="61"/>
        <v>0</v>
      </c>
      <c r="J91" s="121">
        <f t="shared" si="61"/>
        <v>0</v>
      </c>
      <c r="K91" s="121">
        <f t="shared" si="61"/>
        <v>0</v>
      </c>
      <c r="L91" s="121">
        <f t="shared" si="61"/>
        <v>0</v>
      </c>
      <c r="M91" s="121">
        <f t="shared" si="61"/>
        <v>0</v>
      </c>
      <c r="N91" s="121">
        <f t="shared" si="61"/>
        <v>0</v>
      </c>
      <c r="O91" s="121">
        <f t="shared" si="61"/>
        <v>0</v>
      </c>
      <c r="P91" s="121">
        <f t="shared" si="61"/>
        <v>0</v>
      </c>
      <c r="Q91" s="121">
        <f t="shared" si="61"/>
        <v>0</v>
      </c>
      <c r="R91" s="121">
        <f t="shared" si="61"/>
        <v>0</v>
      </c>
      <c r="S91" s="121">
        <f t="shared" si="61"/>
        <v>0</v>
      </c>
      <c r="T91" s="121">
        <f t="shared" si="61"/>
        <v>0</v>
      </c>
      <c r="U91" s="121">
        <f t="shared" si="61"/>
        <v>0</v>
      </c>
      <c r="V91" s="121">
        <f t="shared" si="61"/>
        <v>0</v>
      </c>
      <c r="W91" s="121">
        <f t="shared" si="61"/>
        <v>0</v>
      </c>
      <c r="X91" s="121">
        <f t="shared" si="61"/>
        <v>0</v>
      </c>
      <c r="Y91" s="121">
        <f t="shared" si="61"/>
        <v>0</v>
      </c>
      <c r="Z91" s="121">
        <f t="shared" si="61"/>
        <v>0</v>
      </c>
      <c r="AA91" s="121">
        <f t="shared" si="61"/>
        <v>0</v>
      </c>
      <c r="AB91" s="121">
        <f t="shared" si="61"/>
        <v>0</v>
      </c>
      <c r="AC91" s="121">
        <f t="shared" si="61"/>
        <v>0</v>
      </c>
      <c r="AD91" s="121">
        <f t="shared" si="61"/>
        <v>0</v>
      </c>
      <c r="AE91" s="121">
        <f t="shared" si="61"/>
        <v>0</v>
      </c>
      <c r="AF91" s="121">
        <f t="shared" si="61"/>
        <v>0</v>
      </c>
      <c r="AG91" s="121">
        <f t="shared" si="61"/>
        <v>0</v>
      </c>
      <c r="AH91" s="121">
        <f t="shared" si="61"/>
        <v>0</v>
      </c>
      <c r="AI91" s="121">
        <f t="shared" si="61"/>
        <v>0</v>
      </c>
      <c r="AJ91" s="121">
        <f t="shared" si="61"/>
        <v>0</v>
      </c>
      <c r="AK91" s="121">
        <f t="shared" si="61"/>
        <v>0</v>
      </c>
      <c r="AL91" s="121">
        <f t="shared" si="61"/>
        <v>0</v>
      </c>
      <c r="AM91" s="121">
        <f t="shared" si="61"/>
        <v>0</v>
      </c>
      <c r="AN91" s="121">
        <f t="shared" si="61"/>
        <v>0</v>
      </c>
      <c r="AO91" s="121">
        <f t="shared" si="61"/>
        <v>0</v>
      </c>
      <c r="AP91" s="121">
        <f t="shared" si="61"/>
        <v>0</v>
      </c>
      <c r="AQ91" s="121">
        <f t="shared" si="61"/>
        <v>0</v>
      </c>
      <c r="AR91" s="121">
        <f t="shared" si="61"/>
        <v>0</v>
      </c>
      <c r="AS91" s="121">
        <f t="shared" si="61"/>
        <v>0</v>
      </c>
      <c r="AT91" s="121">
        <f t="shared" si="61"/>
        <v>0</v>
      </c>
      <c r="AU91" s="121">
        <f t="shared" si="61"/>
        <v>0</v>
      </c>
      <c r="AV91" s="121">
        <f t="shared" si="61"/>
        <v>0</v>
      </c>
      <c r="AW91" s="121">
        <f t="shared" si="61"/>
        <v>0</v>
      </c>
      <c r="AX91" s="121">
        <f t="shared" si="61"/>
        <v>0</v>
      </c>
      <c r="AY91" s="121">
        <f t="shared" si="61"/>
        <v>0</v>
      </c>
      <c r="AZ91" s="121">
        <f t="shared" si="61"/>
        <v>0</v>
      </c>
      <c r="BA91" s="121">
        <f t="shared" si="61"/>
        <v>0</v>
      </c>
      <c r="BB91" s="121">
        <f t="shared" si="61"/>
        <v>0</v>
      </c>
      <c r="BC91" s="121">
        <f t="shared" si="61"/>
        <v>0</v>
      </c>
      <c r="BD91" s="121">
        <f t="shared" si="61"/>
        <v>0</v>
      </c>
      <c r="BE91" s="121">
        <f t="shared" si="61"/>
        <v>0</v>
      </c>
      <c r="BF91" s="121">
        <f t="shared" si="61"/>
        <v>0</v>
      </c>
      <c r="BG91" s="121">
        <f t="shared" si="61"/>
        <v>0</v>
      </c>
      <c r="BH91" s="121">
        <f t="shared" si="61"/>
        <v>0</v>
      </c>
      <c r="BI91" s="121">
        <f t="shared" si="61"/>
        <v>0</v>
      </c>
      <c r="BJ91" s="121">
        <f t="shared" si="61"/>
        <v>0</v>
      </c>
      <c r="BK91" s="121">
        <f t="shared" si="61"/>
        <v>0</v>
      </c>
      <c r="BL91" s="121">
        <f t="shared" si="61"/>
        <v>0</v>
      </c>
      <c r="BM91" s="121"/>
      <c r="BN91" s="121"/>
      <c r="BO91" s="125"/>
      <c r="BP91" s="121"/>
      <c r="BQ91" s="121"/>
    </row>
    <row r="92" spans="1:69" s="90" customFormat="1" ht="16.5" customHeight="1">
      <c r="A92" s="125"/>
      <c r="B92" s="136"/>
      <c r="C92" s="121"/>
      <c r="D92" s="121"/>
      <c r="E92" s="121"/>
      <c r="F92" s="121"/>
      <c r="G92" s="121"/>
      <c r="H92" s="121"/>
      <c r="I92" s="121"/>
      <c r="J92" s="411"/>
      <c r="K92" s="113"/>
      <c r="L92" s="125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349"/>
      <c r="X92" s="349"/>
      <c r="Y92" s="349"/>
      <c r="Z92" s="121"/>
      <c r="AA92" s="121"/>
      <c r="AB92" s="121"/>
      <c r="AC92" s="113"/>
      <c r="AD92" s="125"/>
      <c r="AE92" s="349"/>
      <c r="AF92" s="349"/>
      <c r="AG92" s="349"/>
      <c r="AH92" s="349"/>
      <c r="AI92" s="349"/>
      <c r="AJ92" s="349"/>
      <c r="AK92" s="349"/>
      <c r="AL92" s="349"/>
      <c r="AM92" s="121"/>
      <c r="AN92" s="121"/>
      <c r="AO92" s="121"/>
      <c r="AP92" s="121"/>
      <c r="AQ92" s="430"/>
      <c r="AR92" s="113"/>
      <c r="AS92" s="125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13"/>
      <c r="BE92" s="200"/>
      <c r="BF92" s="125"/>
      <c r="BG92" s="349"/>
      <c r="BH92" s="349"/>
      <c r="BI92" s="349"/>
      <c r="BJ92" s="121"/>
      <c r="BK92" s="121"/>
      <c r="BL92" s="349"/>
      <c r="BM92" s="121"/>
      <c r="BN92" s="121"/>
      <c r="BO92" s="125"/>
      <c r="BP92" s="121"/>
      <c r="BQ92" s="121"/>
    </row>
    <row r="93" spans="1:69" s="90" customFormat="1" ht="16.5" customHeight="1">
      <c r="A93" s="125"/>
      <c r="B93" s="136"/>
      <c r="C93" s="121"/>
      <c r="D93" s="121"/>
      <c r="E93" s="121"/>
      <c r="F93" s="121"/>
      <c r="G93" s="121"/>
      <c r="H93" s="121"/>
      <c r="I93" s="121"/>
      <c r="J93" s="411"/>
      <c r="K93" s="113"/>
      <c r="L93" s="125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349"/>
      <c r="X93" s="349"/>
      <c r="Y93" s="349"/>
      <c r="Z93" s="121"/>
      <c r="AA93" s="121"/>
      <c r="AB93" s="121"/>
      <c r="AC93" s="113"/>
      <c r="AD93" s="125"/>
      <c r="AE93" s="349"/>
      <c r="AF93" s="349"/>
      <c r="AG93" s="349"/>
      <c r="AH93" s="349"/>
      <c r="AI93" s="349"/>
      <c r="AJ93" s="349"/>
      <c r="AK93" s="349"/>
      <c r="AL93" s="349"/>
      <c r="AM93" s="121"/>
      <c r="AN93" s="121"/>
      <c r="AO93" s="121"/>
      <c r="AP93" s="121"/>
      <c r="AQ93" s="430"/>
      <c r="AR93" s="113"/>
      <c r="AS93" s="125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13"/>
      <c r="BE93" s="200"/>
      <c r="BF93" s="125"/>
      <c r="BG93" s="349"/>
      <c r="BH93" s="349"/>
      <c r="BI93" s="349"/>
      <c r="BJ93" s="121"/>
      <c r="BK93" s="121"/>
      <c r="BL93" s="349"/>
      <c r="BM93" s="121"/>
      <c r="BN93" s="121"/>
      <c r="BO93" s="125"/>
      <c r="BP93" s="121"/>
      <c r="BQ93" s="121"/>
    </row>
    <row r="94" spans="1:69" s="90" customFormat="1" ht="16.5" customHeight="1">
      <c r="A94" s="125"/>
      <c r="B94" s="136"/>
      <c r="C94" s="121"/>
      <c r="D94" s="121"/>
      <c r="E94" s="121"/>
      <c r="F94" s="121"/>
      <c r="G94" s="121"/>
      <c r="H94" s="121"/>
      <c r="I94" s="121"/>
      <c r="J94" s="411"/>
      <c r="K94" s="113"/>
      <c r="L94" s="125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349"/>
      <c r="X94" s="349"/>
      <c r="Y94" s="349"/>
      <c r="Z94" s="121"/>
      <c r="AA94" s="121"/>
      <c r="AB94" s="121"/>
      <c r="AC94" s="113"/>
      <c r="AD94" s="125"/>
      <c r="AE94" s="349"/>
      <c r="AF94" s="349"/>
      <c r="AG94" s="349"/>
      <c r="AH94" s="349"/>
      <c r="AI94" s="349"/>
      <c r="AJ94" s="349"/>
      <c r="AK94" s="349"/>
      <c r="AL94" s="349"/>
      <c r="AM94" s="121"/>
      <c r="AN94" s="121"/>
      <c r="AO94" s="121"/>
      <c r="AP94" s="121"/>
      <c r="AQ94" s="430"/>
      <c r="AR94" s="113"/>
      <c r="AS94" s="125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13"/>
      <c r="BE94" s="200"/>
      <c r="BF94" s="125"/>
      <c r="BG94" s="349"/>
      <c r="BH94" s="349"/>
      <c r="BI94" s="349"/>
      <c r="BJ94" s="121"/>
      <c r="BK94" s="121"/>
      <c r="BL94" s="349"/>
      <c r="BM94" s="121"/>
      <c r="BN94" s="121"/>
      <c r="BO94" s="125"/>
      <c r="BP94" s="121"/>
      <c r="BQ94" s="121"/>
    </row>
    <row r="95" spans="1:64" ht="12.75">
      <c r="A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438"/>
      <c r="BF95" s="144"/>
      <c r="BG95" s="144"/>
      <c r="BH95" s="144"/>
      <c r="BI95" s="144"/>
      <c r="BJ95" s="144"/>
      <c r="BK95" s="144"/>
      <c r="BL95" s="144"/>
    </row>
    <row r="96" spans="1:64" ht="12.75">
      <c r="A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438"/>
      <c r="BF96" s="144"/>
      <c r="BG96" s="144"/>
      <c r="BH96" s="144"/>
      <c r="BI96" s="144"/>
      <c r="BJ96" s="144"/>
      <c r="BK96" s="144"/>
      <c r="BL96" s="144"/>
    </row>
    <row r="97" spans="1:64" ht="12.75">
      <c r="A97" s="373" t="s">
        <v>22</v>
      </c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438"/>
      <c r="BF97" s="144"/>
      <c r="BG97" s="144"/>
      <c r="BH97" s="144"/>
      <c r="BI97" s="144"/>
      <c r="BJ97" s="144"/>
      <c r="BK97" s="144"/>
      <c r="BL97" s="144"/>
    </row>
    <row r="98" spans="1:69" s="90" customFormat="1" ht="15.75" customHeight="1">
      <c r="A98" s="92"/>
      <c r="B98" s="370"/>
      <c r="C98" s="93" t="s">
        <v>387</v>
      </c>
      <c r="D98" s="94" t="s">
        <v>1400</v>
      </c>
      <c r="E98" s="95"/>
      <c r="F98" s="96"/>
      <c r="G98" s="96"/>
      <c r="H98" s="96"/>
      <c r="I98" s="97"/>
      <c r="J98" s="98"/>
      <c r="K98" s="98"/>
      <c r="L98" s="92"/>
      <c r="M98" s="93" t="s">
        <v>1401</v>
      </c>
      <c r="N98" s="93" t="s">
        <v>1401</v>
      </c>
      <c r="O98" s="100" t="s">
        <v>1403</v>
      </c>
      <c r="P98" s="100" t="s">
        <v>1403</v>
      </c>
      <c r="Q98" s="291" t="s">
        <v>1404</v>
      </c>
      <c r="R98" s="100" t="s">
        <v>1404</v>
      </c>
      <c r="S98" s="100" t="s">
        <v>1402</v>
      </c>
      <c r="T98" s="100" t="s">
        <v>1411</v>
      </c>
      <c r="U98" s="100" t="s">
        <v>1418</v>
      </c>
      <c r="V98" s="100" t="s">
        <v>1407</v>
      </c>
      <c r="W98" s="100" t="s">
        <v>1406</v>
      </c>
      <c r="X98" s="291" t="s">
        <v>1416</v>
      </c>
      <c r="Y98" s="100" t="s">
        <v>1405</v>
      </c>
      <c r="Z98" s="100" t="s">
        <v>1408</v>
      </c>
      <c r="AA98" s="100" t="s">
        <v>1408</v>
      </c>
      <c r="AB98" s="100"/>
      <c r="AC98" s="98"/>
      <c r="AD98" s="92"/>
      <c r="AE98" s="93" t="s">
        <v>1409</v>
      </c>
      <c r="AF98" s="93" t="s">
        <v>1410</v>
      </c>
      <c r="AG98" s="93" t="s">
        <v>1410</v>
      </c>
      <c r="AH98" s="93" t="s">
        <v>1410</v>
      </c>
      <c r="AI98" s="93" t="s">
        <v>1410</v>
      </c>
      <c r="AJ98" s="93" t="s">
        <v>1410</v>
      </c>
      <c r="AK98" s="93" t="s">
        <v>1410</v>
      </c>
      <c r="AL98" s="93" t="s">
        <v>1410</v>
      </c>
      <c r="AM98" s="100" t="s">
        <v>1401</v>
      </c>
      <c r="AN98" s="100" t="s">
        <v>1412</v>
      </c>
      <c r="AO98" s="100" t="s">
        <v>1413</v>
      </c>
      <c r="AP98" s="100" t="s">
        <v>1414</v>
      </c>
      <c r="AQ98" s="100"/>
      <c r="AR98" s="98"/>
      <c r="AS98" s="92"/>
      <c r="AT98" s="101" t="s">
        <v>1415</v>
      </c>
      <c r="AU98" s="100"/>
      <c r="AV98" s="100" t="s">
        <v>1416</v>
      </c>
      <c r="AW98" s="100" t="s">
        <v>1416</v>
      </c>
      <c r="AX98" s="100" t="s">
        <v>1417</v>
      </c>
      <c r="AY98" s="100" t="s">
        <v>1404</v>
      </c>
      <c r="AZ98" s="100" t="s">
        <v>1404</v>
      </c>
      <c r="BA98" s="100" t="s">
        <v>1404</v>
      </c>
      <c r="BB98" s="100" t="s">
        <v>1419</v>
      </c>
      <c r="BC98" s="100"/>
      <c r="BD98" s="98"/>
      <c r="BE98" s="436"/>
      <c r="BF98" s="92"/>
      <c r="BG98" s="291" t="s">
        <v>1172</v>
      </c>
      <c r="BH98" s="100" t="s">
        <v>1420</v>
      </c>
      <c r="BI98" s="100" t="s">
        <v>27</v>
      </c>
      <c r="BJ98" s="102"/>
      <c r="BK98" s="100"/>
      <c r="BL98" s="100"/>
      <c r="BM98" s="103"/>
      <c r="BN98" s="103"/>
      <c r="BO98" s="92"/>
      <c r="BP98" s="93" t="s">
        <v>157</v>
      </c>
      <c r="BQ98" s="93" t="s">
        <v>157</v>
      </c>
    </row>
    <row r="99" spans="1:69" s="90" customFormat="1" ht="16.5" customHeight="1">
      <c r="A99" s="372" t="s">
        <v>96</v>
      </c>
      <c r="B99" s="407"/>
      <c r="C99" s="105" t="s">
        <v>388</v>
      </c>
      <c r="D99" s="106" t="s">
        <v>1425</v>
      </c>
      <c r="E99" s="106" t="s">
        <v>1426</v>
      </c>
      <c r="F99" s="106" t="s">
        <v>1441</v>
      </c>
      <c r="G99" s="106" t="s">
        <v>1428</v>
      </c>
      <c r="H99" s="106" t="s">
        <v>1429</v>
      </c>
      <c r="I99" s="105" t="s">
        <v>1430</v>
      </c>
      <c r="J99" s="98"/>
      <c r="K99" s="98"/>
      <c r="L99" s="104" t="s">
        <v>96</v>
      </c>
      <c r="M99" s="105" t="s">
        <v>1431</v>
      </c>
      <c r="N99" s="105" t="s">
        <v>1432</v>
      </c>
      <c r="O99" s="106" t="s">
        <v>1439</v>
      </c>
      <c r="P99" s="106" t="s">
        <v>1435</v>
      </c>
      <c r="Q99" s="292" t="s">
        <v>23</v>
      </c>
      <c r="R99" s="106" t="s">
        <v>1436</v>
      </c>
      <c r="S99" s="106" t="s">
        <v>1433</v>
      </c>
      <c r="T99" s="106" t="s">
        <v>1449</v>
      </c>
      <c r="U99" s="106" t="s">
        <v>1432</v>
      </c>
      <c r="V99" s="106" t="s">
        <v>1440</v>
      </c>
      <c r="W99" s="106" t="s">
        <v>1438</v>
      </c>
      <c r="X99" s="292" t="s">
        <v>1454</v>
      </c>
      <c r="Y99" s="106" t="s">
        <v>1437</v>
      </c>
      <c r="Z99" s="106" t="s">
        <v>385</v>
      </c>
      <c r="AA99" s="106" t="s">
        <v>384</v>
      </c>
      <c r="AB99" s="106" t="s">
        <v>1441</v>
      </c>
      <c r="AC99" s="107"/>
      <c r="AD99" s="104" t="s">
        <v>96</v>
      </c>
      <c r="AE99" s="105"/>
      <c r="AF99" s="105" t="s">
        <v>1442</v>
      </c>
      <c r="AG99" s="106" t="s">
        <v>1443</v>
      </c>
      <c r="AH99" s="106" t="s">
        <v>1444</v>
      </c>
      <c r="AI99" s="106" t="s">
        <v>1445</v>
      </c>
      <c r="AJ99" s="106" t="s">
        <v>1446</v>
      </c>
      <c r="AK99" s="106" t="s">
        <v>1447</v>
      </c>
      <c r="AL99" s="106" t="s">
        <v>1448</v>
      </c>
      <c r="AM99" s="106" t="s">
        <v>1434</v>
      </c>
      <c r="AN99" s="106" t="s">
        <v>1450</v>
      </c>
      <c r="AO99" s="106" t="s">
        <v>1451</v>
      </c>
      <c r="AP99" s="106" t="s">
        <v>1452</v>
      </c>
      <c r="AQ99" s="106" t="s">
        <v>1441</v>
      </c>
      <c r="AR99" s="107"/>
      <c r="AS99" s="104" t="s">
        <v>96</v>
      </c>
      <c r="AT99" s="105" t="s">
        <v>1453</v>
      </c>
      <c r="AU99" s="106"/>
      <c r="AV99" s="106" t="s">
        <v>1460</v>
      </c>
      <c r="AW99" s="106" t="s">
        <v>1461</v>
      </c>
      <c r="AX99" s="106" t="s">
        <v>1462</v>
      </c>
      <c r="AY99" s="106" t="s">
        <v>1463</v>
      </c>
      <c r="AZ99" s="106" t="s">
        <v>341</v>
      </c>
      <c r="BA99" s="106" t="s">
        <v>1464</v>
      </c>
      <c r="BB99" s="106" t="s">
        <v>1465</v>
      </c>
      <c r="BC99" s="106" t="s">
        <v>1441</v>
      </c>
      <c r="BD99" s="107"/>
      <c r="BE99" s="436"/>
      <c r="BF99" s="104" t="s">
        <v>96</v>
      </c>
      <c r="BG99" s="292" t="s">
        <v>1466</v>
      </c>
      <c r="BH99" s="106" t="s">
        <v>0</v>
      </c>
      <c r="BI99" s="106" t="s">
        <v>28</v>
      </c>
      <c r="BJ99" s="108"/>
      <c r="BK99" s="106"/>
      <c r="BL99" s="106" t="s">
        <v>1441</v>
      </c>
      <c r="BM99" s="109"/>
      <c r="BN99" s="109"/>
      <c r="BO99" s="104" t="s">
        <v>96</v>
      </c>
      <c r="BP99" s="307" t="s">
        <v>403</v>
      </c>
      <c r="BQ99" s="307" t="s">
        <v>405</v>
      </c>
    </row>
    <row r="100" spans="1:69" s="136" customFormat="1" ht="16.5" customHeight="1">
      <c r="A100" s="433"/>
      <c r="B100" s="431"/>
      <c r="C100" s="382"/>
      <c r="D100" s="414"/>
      <c r="E100" s="414"/>
      <c r="F100" s="414"/>
      <c r="G100" s="414"/>
      <c r="H100" s="414"/>
      <c r="I100" s="382"/>
      <c r="J100" s="418"/>
      <c r="K100" s="418"/>
      <c r="L100" s="415"/>
      <c r="M100" s="382"/>
      <c r="N100" s="382"/>
      <c r="O100" s="414"/>
      <c r="P100" s="414"/>
      <c r="Q100" s="381"/>
      <c r="R100" s="414"/>
      <c r="S100" s="414"/>
      <c r="T100" s="414"/>
      <c r="U100" s="414"/>
      <c r="V100" s="414"/>
      <c r="W100" s="414"/>
      <c r="X100" s="381"/>
      <c r="Y100" s="414"/>
      <c r="Z100" s="414"/>
      <c r="AA100" s="414"/>
      <c r="AB100" s="414"/>
      <c r="AC100" s="109"/>
      <c r="AD100" s="415"/>
      <c r="AE100" s="382"/>
      <c r="AF100" s="382"/>
      <c r="AG100" s="414"/>
      <c r="AH100" s="414"/>
      <c r="AI100" s="414"/>
      <c r="AJ100" s="414"/>
      <c r="AK100" s="414"/>
      <c r="AL100" s="414"/>
      <c r="AM100" s="414"/>
      <c r="AN100" s="414"/>
      <c r="AO100" s="414"/>
      <c r="AP100" s="414"/>
      <c r="AQ100" s="414"/>
      <c r="AR100" s="109"/>
      <c r="AS100" s="415"/>
      <c r="AT100" s="382"/>
      <c r="AU100" s="414"/>
      <c r="AV100" s="414"/>
      <c r="AW100" s="414"/>
      <c r="AX100" s="414"/>
      <c r="AY100" s="414"/>
      <c r="AZ100" s="414"/>
      <c r="BA100" s="414"/>
      <c r="BB100" s="414"/>
      <c r="BC100" s="414"/>
      <c r="BD100" s="109"/>
      <c r="BE100" s="440"/>
      <c r="BF100" s="415"/>
      <c r="BG100" s="381"/>
      <c r="BH100" s="414"/>
      <c r="BI100" s="414"/>
      <c r="BJ100" s="416"/>
      <c r="BK100" s="414"/>
      <c r="BL100" s="414"/>
      <c r="BM100" s="109"/>
      <c r="BN100" s="109"/>
      <c r="BO100" s="109"/>
      <c r="BP100" s="417"/>
      <c r="BQ100" s="417"/>
    </row>
    <row r="101" spans="1:69" ht="12.75">
      <c r="A101" s="378" t="s">
        <v>17</v>
      </c>
      <c r="B101" s="432"/>
      <c r="C101" s="377">
        <f aca="true" t="shared" si="62" ref="C101:I101">C13+C86+C87</f>
        <v>-5341220</v>
      </c>
      <c r="D101" s="377">
        <f t="shared" si="62"/>
        <v>884407.3999999994</v>
      </c>
      <c r="E101" s="377">
        <f t="shared" si="62"/>
        <v>17649</v>
      </c>
      <c r="F101" s="377">
        <f t="shared" si="62"/>
        <v>-4439163.6000000015</v>
      </c>
      <c r="G101" s="377">
        <f t="shared" si="62"/>
        <v>12523001</v>
      </c>
      <c r="H101" s="377">
        <f t="shared" si="62"/>
        <v>0</v>
      </c>
      <c r="I101" s="377">
        <f t="shared" si="62"/>
        <v>-16962164.6</v>
      </c>
      <c r="J101" s="144"/>
      <c r="K101" s="144"/>
      <c r="L101" s="377" t="s">
        <v>17</v>
      </c>
      <c r="M101" s="377">
        <f aca="true" t="shared" si="63" ref="M101:AB101">M13+M86+M87</f>
        <v>507776.4</v>
      </c>
      <c r="N101" s="377">
        <f t="shared" si="63"/>
        <v>848698</v>
      </c>
      <c r="O101" s="377">
        <f t="shared" si="63"/>
        <v>21279</v>
      </c>
      <c r="P101" s="377">
        <f t="shared" si="63"/>
        <v>-23576</v>
      </c>
      <c r="Q101" s="377">
        <f t="shared" si="63"/>
        <v>24027</v>
      </c>
      <c r="R101" s="377">
        <f t="shared" si="63"/>
        <v>-211863</v>
      </c>
      <c r="S101" s="377">
        <f t="shared" si="63"/>
        <v>-269068</v>
      </c>
      <c r="T101" s="377">
        <f t="shared" si="63"/>
        <v>-7459</v>
      </c>
      <c r="U101" s="377">
        <f t="shared" si="63"/>
        <v>0</v>
      </c>
      <c r="V101" s="377">
        <f t="shared" si="63"/>
        <v>-146513.75</v>
      </c>
      <c r="W101" s="377">
        <f t="shared" si="63"/>
        <v>171134</v>
      </c>
      <c r="X101" s="377">
        <f t="shared" si="63"/>
        <v>0</v>
      </c>
      <c r="Y101" s="377">
        <f t="shared" si="63"/>
        <v>0</v>
      </c>
      <c r="Z101" s="377">
        <f t="shared" si="63"/>
        <v>-29227.25</v>
      </c>
      <c r="AA101" s="377">
        <f t="shared" si="63"/>
        <v>-800</v>
      </c>
      <c r="AB101" s="377">
        <f t="shared" si="63"/>
        <v>884407.3999999994</v>
      </c>
      <c r="AC101" s="144"/>
      <c r="AD101" s="377" t="s">
        <v>17</v>
      </c>
      <c r="AE101" s="377"/>
      <c r="AF101" s="377">
        <f aca="true" t="shared" si="64" ref="AF101:AQ101">AF13+AF86+AF87</f>
        <v>0</v>
      </c>
      <c r="AG101" s="377">
        <f t="shared" si="64"/>
        <v>0</v>
      </c>
      <c r="AH101" s="377">
        <f t="shared" si="64"/>
        <v>-600</v>
      </c>
      <c r="AI101" s="377">
        <f t="shared" si="64"/>
        <v>-400</v>
      </c>
      <c r="AJ101" s="377">
        <f t="shared" si="64"/>
        <v>-400</v>
      </c>
      <c r="AK101" s="377">
        <f t="shared" si="64"/>
        <v>0</v>
      </c>
      <c r="AL101" s="377">
        <f t="shared" si="64"/>
        <v>0</v>
      </c>
      <c r="AM101" s="377">
        <f t="shared" si="64"/>
        <v>0</v>
      </c>
      <c r="AN101" s="377">
        <f t="shared" si="64"/>
        <v>-27827.25</v>
      </c>
      <c r="AO101" s="377">
        <f t="shared" si="64"/>
        <v>0</v>
      </c>
      <c r="AP101" s="377">
        <f t="shared" si="64"/>
        <v>0</v>
      </c>
      <c r="AQ101" s="377">
        <f t="shared" si="64"/>
        <v>-29227.25</v>
      </c>
      <c r="AR101" s="144"/>
      <c r="AS101" s="377" t="s">
        <v>17</v>
      </c>
      <c r="AT101" s="377">
        <f>AT13+AT86+AT87</f>
        <v>0</v>
      </c>
      <c r="AU101" s="377"/>
      <c r="AV101" s="377">
        <f aca="true" t="shared" si="65" ref="AV101:BC101">AV13+AV86+AV87</f>
        <v>-400</v>
      </c>
      <c r="AW101" s="377">
        <f t="shared" si="65"/>
        <v>-400</v>
      </c>
      <c r="AX101" s="377">
        <f t="shared" si="65"/>
        <v>0</v>
      </c>
      <c r="AY101" s="377">
        <f t="shared" si="65"/>
        <v>0</v>
      </c>
      <c r="AZ101" s="377">
        <f t="shared" si="65"/>
        <v>0</v>
      </c>
      <c r="BA101" s="377">
        <f t="shared" si="65"/>
        <v>0</v>
      </c>
      <c r="BB101" s="377">
        <f t="shared" si="65"/>
        <v>0</v>
      </c>
      <c r="BC101" s="377">
        <f t="shared" si="65"/>
        <v>-800</v>
      </c>
      <c r="BD101" s="144"/>
      <c r="BE101" s="438"/>
      <c r="BF101" s="377" t="s">
        <v>17</v>
      </c>
      <c r="BG101" s="377">
        <f aca="true" t="shared" si="66" ref="BG101:BL101">BG13+BG86+BG87</f>
        <v>0</v>
      </c>
      <c r="BH101" s="377">
        <f t="shared" si="66"/>
        <v>17649</v>
      </c>
      <c r="BI101" s="377">
        <f t="shared" si="66"/>
        <v>0</v>
      </c>
      <c r="BJ101" s="377">
        <f t="shared" si="66"/>
        <v>0</v>
      </c>
      <c r="BK101" s="377">
        <f t="shared" si="66"/>
        <v>0</v>
      </c>
      <c r="BL101" s="377">
        <f t="shared" si="66"/>
        <v>17649</v>
      </c>
      <c r="BM101" s="144"/>
      <c r="BN101" s="144"/>
      <c r="BO101" s="144" t="s">
        <v>17</v>
      </c>
      <c r="BP101" s="144"/>
      <c r="BQ101" s="144">
        <f>BQ13+BQ86+BQ87</f>
        <v>-4160956.64152</v>
      </c>
    </row>
    <row r="102" spans="1:69" ht="12.75">
      <c r="A102" s="378" t="s">
        <v>18</v>
      </c>
      <c r="B102" s="432"/>
      <c r="C102" s="377"/>
      <c r="D102" s="377"/>
      <c r="E102" s="377"/>
      <c r="F102" s="377"/>
      <c r="G102" s="377"/>
      <c r="H102" s="377"/>
      <c r="I102" s="377"/>
      <c r="J102" s="144"/>
      <c r="K102" s="144"/>
      <c r="L102" s="377" t="s">
        <v>18</v>
      </c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144"/>
      <c r="AD102" s="377" t="s">
        <v>18</v>
      </c>
      <c r="AE102" s="377"/>
      <c r="AF102" s="377"/>
      <c r="AG102" s="377"/>
      <c r="AH102" s="377"/>
      <c r="AI102" s="377"/>
      <c r="AJ102" s="377"/>
      <c r="AK102" s="377"/>
      <c r="AL102" s="377"/>
      <c r="AM102" s="377"/>
      <c r="AN102" s="377"/>
      <c r="AO102" s="377"/>
      <c r="AP102" s="377"/>
      <c r="AQ102" s="377"/>
      <c r="AR102" s="144"/>
      <c r="AS102" s="377" t="s">
        <v>18</v>
      </c>
      <c r="AT102" s="377"/>
      <c r="AU102" s="377"/>
      <c r="AV102" s="377"/>
      <c r="AW102" s="377"/>
      <c r="AX102" s="377"/>
      <c r="AY102" s="377"/>
      <c r="AZ102" s="377"/>
      <c r="BA102" s="377"/>
      <c r="BB102" s="377"/>
      <c r="BC102" s="377"/>
      <c r="BD102" s="144"/>
      <c r="BE102" s="438"/>
      <c r="BF102" s="377" t="s">
        <v>18</v>
      </c>
      <c r="BG102" s="377"/>
      <c r="BH102" s="377"/>
      <c r="BI102" s="377"/>
      <c r="BJ102" s="377"/>
      <c r="BK102" s="377"/>
      <c r="BL102" s="377"/>
      <c r="BM102" s="144"/>
      <c r="BN102" s="144"/>
      <c r="BO102" s="144" t="s">
        <v>18</v>
      </c>
      <c r="BP102" s="144"/>
      <c r="BQ102" s="144"/>
    </row>
    <row r="103" spans="1:69" ht="12.75">
      <c r="A103" s="378"/>
      <c r="B103" s="432" t="s">
        <v>19</v>
      </c>
      <c r="C103" s="379">
        <f aca="true" t="shared" si="67" ref="C103:I103">C86</f>
        <v>2302452</v>
      </c>
      <c r="D103" s="379">
        <f t="shared" si="67"/>
        <v>5503260.5</v>
      </c>
      <c r="E103" s="379">
        <f t="shared" si="67"/>
        <v>1671827.7400000002</v>
      </c>
      <c r="F103" s="379">
        <f t="shared" si="67"/>
        <v>9477540.24</v>
      </c>
      <c r="G103" s="379">
        <f t="shared" si="67"/>
        <v>0</v>
      </c>
      <c r="H103" s="379">
        <f t="shared" si="67"/>
        <v>0</v>
      </c>
      <c r="I103" s="379">
        <f t="shared" si="67"/>
        <v>9477540.24</v>
      </c>
      <c r="J103" s="144"/>
      <c r="K103" s="144"/>
      <c r="L103" s="377" t="s">
        <v>1012</v>
      </c>
      <c r="M103" s="379">
        <f aca="true" t="shared" si="68" ref="M103:AB103">M86</f>
        <v>23</v>
      </c>
      <c r="N103" s="379">
        <f t="shared" si="68"/>
        <v>43</v>
      </c>
      <c r="O103" s="379">
        <f t="shared" si="68"/>
        <v>1442438</v>
      </c>
      <c r="P103" s="379">
        <f t="shared" si="68"/>
        <v>0</v>
      </c>
      <c r="Q103" s="379">
        <f t="shared" si="68"/>
        <v>55</v>
      </c>
      <c r="R103" s="379">
        <f t="shared" si="68"/>
        <v>24</v>
      </c>
      <c r="S103" s="379">
        <f t="shared" si="68"/>
        <v>2841806</v>
      </c>
      <c r="T103" s="379">
        <f t="shared" si="68"/>
        <v>7.5</v>
      </c>
      <c r="U103" s="379">
        <f t="shared" si="68"/>
        <v>0</v>
      </c>
      <c r="V103" s="379">
        <f t="shared" si="68"/>
        <v>1470</v>
      </c>
      <c r="W103" s="379">
        <f t="shared" si="68"/>
        <v>1217394</v>
      </c>
      <c r="X103" s="379">
        <f t="shared" si="68"/>
        <v>0</v>
      </c>
      <c r="Y103" s="379">
        <f t="shared" si="68"/>
        <v>0</v>
      </c>
      <c r="Z103" s="379">
        <f t="shared" si="68"/>
        <v>0</v>
      </c>
      <c r="AA103" s="379">
        <f t="shared" si="68"/>
        <v>0</v>
      </c>
      <c r="AB103" s="379">
        <f t="shared" si="68"/>
        <v>5503260.5</v>
      </c>
      <c r="AC103" s="144"/>
      <c r="AD103" s="377" t="s">
        <v>1013</v>
      </c>
      <c r="AE103" s="379">
        <f aca="true" t="shared" si="69" ref="AE103:AQ103">AE86</f>
        <v>0</v>
      </c>
      <c r="AF103" s="379">
        <f t="shared" si="69"/>
        <v>0</v>
      </c>
      <c r="AG103" s="379">
        <f t="shared" si="69"/>
        <v>0</v>
      </c>
      <c r="AH103" s="379">
        <f t="shared" si="69"/>
        <v>0</v>
      </c>
      <c r="AI103" s="379">
        <f t="shared" si="69"/>
        <v>0</v>
      </c>
      <c r="AJ103" s="379">
        <f t="shared" si="69"/>
        <v>0</v>
      </c>
      <c r="AK103" s="379">
        <f t="shared" si="69"/>
        <v>0</v>
      </c>
      <c r="AL103" s="379">
        <f t="shared" si="69"/>
        <v>0</v>
      </c>
      <c r="AM103" s="379">
        <f t="shared" si="69"/>
        <v>0</v>
      </c>
      <c r="AN103" s="379">
        <f t="shared" si="69"/>
        <v>0</v>
      </c>
      <c r="AO103" s="379">
        <f t="shared" si="69"/>
        <v>0</v>
      </c>
      <c r="AP103" s="379">
        <f t="shared" si="69"/>
        <v>0</v>
      </c>
      <c r="AQ103" s="379">
        <f t="shared" si="69"/>
        <v>0</v>
      </c>
      <c r="AR103" s="144"/>
      <c r="AS103" s="377" t="s">
        <v>1015</v>
      </c>
      <c r="AT103" s="379">
        <f>AT86</f>
        <v>0</v>
      </c>
      <c r="AU103" s="379"/>
      <c r="AV103" s="379">
        <f aca="true" t="shared" si="70" ref="AV103:BC103">AV86</f>
        <v>0</v>
      </c>
      <c r="AW103" s="379">
        <f t="shared" si="70"/>
        <v>0</v>
      </c>
      <c r="AX103" s="379">
        <f t="shared" si="70"/>
        <v>0</v>
      </c>
      <c r="AY103" s="379">
        <f t="shared" si="70"/>
        <v>0</v>
      </c>
      <c r="AZ103" s="379">
        <f t="shared" si="70"/>
        <v>0</v>
      </c>
      <c r="BA103" s="379">
        <f t="shared" si="70"/>
        <v>0</v>
      </c>
      <c r="BB103" s="379">
        <f t="shared" si="70"/>
        <v>0</v>
      </c>
      <c r="BC103" s="379">
        <f t="shared" si="70"/>
        <v>0</v>
      </c>
      <c r="BD103" s="144"/>
      <c r="BE103" s="438"/>
      <c r="BF103" s="377" t="s">
        <v>1013</v>
      </c>
      <c r="BG103" s="379">
        <f aca="true" t="shared" si="71" ref="BG103:BL103">BG86</f>
        <v>84895.65</v>
      </c>
      <c r="BH103" s="379">
        <f t="shared" si="71"/>
        <v>178954</v>
      </c>
      <c r="BI103" s="379">
        <f t="shared" si="71"/>
        <v>1407978.09</v>
      </c>
      <c r="BJ103" s="379">
        <f t="shared" si="71"/>
        <v>0</v>
      </c>
      <c r="BK103" s="379">
        <f t="shared" si="71"/>
        <v>0</v>
      </c>
      <c r="BL103" s="379">
        <f t="shared" si="71"/>
        <v>1671827.7400000002</v>
      </c>
      <c r="BM103" s="144"/>
      <c r="BN103" s="144"/>
      <c r="BO103" s="144"/>
      <c r="BP103" s="144" t="s">
        <v>19</v>
      </c>
      <c r="BQ103" s="144">
        <f>BQ86</f>
        <v>0</v>
      </c>
    </row>
    <row r="104" spans="1:69" ht="12.75">
      <c r="A104" s="378" t="s">
        <v>20</v>
      </c>
      <c r="B104" s="432"/>
      <c r="C104" s="377">
        <f>C101-C103</f>
        <v>-7643672</v>
      </c>
      <c r="D104" s="377">
        <f aca="true" t="shared" si="72" ref="D104:BL104">D101-D103</f>
        <v>-4618853.100000001</v>
      </c>
      <c r="E104" s="377">
        <f t="shared" si="72"/>
        <v>-1654178.7400000002</v>
      </c>
      <c r="F104" s="377">
        <f t="shared" si="72"/>
        <v>-13916703.840000002</v>
      </c>
      <c r="G104" s="377">
        <f t="shared" si="72"/>
        <v>12523001</v>
      </c>
      <c r="H104" s="377">
        <f t="shared" si="72"/>
        <v>0</v>
      </c>
      <c r="I104" s="377">
        <f t="shared" si="72"/>
        <v>-26439704.840000004</v>
      </c>
      <c r="J104" s="144"/>
      <c r="K104" s="144"/>
      <c r="L104" s="377" t="s">
        <v>20</v>
      </c>
      <c r="M104" s="377">
        <f t="shared" si="72"/>
        <v>507753.4</v>
      </c>
      <c r="N104" s="377">
        <f t="shared" si="72"/>
        <v>848655</v>
      </c>
      <c r="O104" s="377">
        <f t="shared" si="72"/>
        <v>-1421159</v>
      </c>
      <c r="P104" s="377">
        <f t="shared" si="72"/>
        <v>-23576</v>
      </c>
      <c r="Q104" s="377">
        <f t="shared" si="72"/>
        <v>23972</v>
      </c>
      <c r="R104" s="377">
        <f t="shared" si="72"/>
        <v>-211887</v>
      </c>
      <c r="S104" s="377">
        <f t="shared" si="72"/>
        <v>-3110874</v>
      </c>
      <c r="T104" s="377">
        <f t="shared" si="72"/>
        <v>-7466.5</v>
      </c>
      <c r="U104" s="377">
        <f t="shared" si="72"/>
        <v>0</v>
      </c>
      <c r="V104" s="377">
        <f t="shared" si="72"/>
        <v>-147983.75</v>
      </c>
      <c r="W104" s="377">
        <f t="shared" si="72"/>
        <v>-1046260</v>
      </c>
      <c r="X104" s="377">
        <f t="shared" si="72"/>
        <v>0</v>
      </c>
      <c r="Y104" s="377">
        <f t="shared" si="72"/>
        <v>0</v>
      </c>
      <c r="Z104" s="377">
        <f t="shared" si="72"/>
        <v>-29227.25</v>
      </c>
      <c r="AA104" s="377">
        <f t="shared" si="72"/>
        <v>-800</v>
      </c>
      <c r="AB104" s="377">
        <f t="shared" si="72"/>
        <v>-4618853.100000001</v>
      </c>
      <c r="AC104" s="144"/>
      <c r="AD104" s="377" t="s">
        <v>20</v>
      </c>
      <c r="AE104" s="377"/>
      <c r="AF104" s="377">
        <f t="shared" si="72"/>
        <v>0</v>
      </c>
      <c r="AG104" s="377">
        <f t="shared" si="72"/>
        <v>0</v>
      </c>
      <c r="AH104" s="377">
        <f t="shared" si="72"/>
        <v>-600</v>
      </c>
      <c r="AI104" s="377">
        <f t="shared" si="72"/>
        <v>-400</v>
      </c>
      <c r="AJ104" s="377">
        <f t="shared" si="72"/>
        <v>-400</v>
      </c>
      <c r="AK104" s="377">
        <f t="shared" si="72"/>
        <v>0</v>
      </c>
      <c r="AL104" s="377">
        <f t="shared" si="72"/>
        <v>0</v>
      </c>
      <c r="AM104" s="377">
        <f t="shared" si="72"/>
        <v>0</v>
      </c>
      <c r="AN104" s="377">
        <f t="shared" si="72"/>
        <v>-27827.25</v>
      </c>
      <c r="AO104" s="377">
        <f t="shared" si="72"/>
        <v>0</v>
      </c>
      <c r="AP104" s="377">
        <f t="shared" si="72"/>
        <v>0</v>
      </c>
      <c r="AQ104" s="377">
        <f t="shared" si="72"/>
        <v>-29227.25</v>
      </c>
      <c r="AR104" s="144"/>
      <c r="AS104" s="377" t="s">
        <v>20</v>
      </c>
      <c r="AT104" s="377">
        <f t="shared" si="72"/>
        <v>0</v>
      </c>
      <c r="AU104" s="377"/>
      <c r="AV104" s="377">
        <f t="shared" si="72"/>
        <v>-400</v>
      </c>
      <c r="AW104" s="377">
        <f t="shared" si="72"/>
        <v>-400</v>
      </c>
      <c r="AX104" s="377">
        <f t="shared" si="72"/>
        <v>0</v>
      </c>
      <c r="AY104" s="377">
        <f t="shared" si="72"/>
        <v>0</v>
      </c>
      <c r="AZ104" s="377">
        <f t="shared" si="72"/>
        <v>0</v>
      </c>
      <c r="BA104" s="377">
        <f t="shared" si="72"/>
        <v>0</v>
      </c>
      <c r="BB104" s="377">
        <f t="shared" si="72"/>
        <v>0</v>
      </c>
      <c r="BC104" s="377">
        <f t="shared" si="72"/>
        <v>-800</v>
      </c>
      <c r="BD104" s="144"/>
      <c r="BE104" s="438"/>
      <c r="BF104" s="377" t="s">
        <v>20</v>
      </c>
      <c r="BG104" s="377">
        <f t="shared" si="72"/>
        <v>-84895.65</v>
      </c>
      <c r="BH104" s="377">
        <f t="shared" si="72"/>
        <v>-161305</v>
      </c>
      <c r="BI104" s="377">
        <f t="shared" si="72"/>
        <v>-1407978.09</v>
      </c>
      <c r="BJ104" s="377">
        <f t="shared" si="72"/>
        <v>0</v>
      </c>
      <c r="BK104" s="377">
        <f t="shared" si="72"/>
        <v>0</v>
      </c>
      <c r="BL104" s="377">
        <f t="shared" si="72"/>
        <v>-1654178.7400000002</v>
      </c>
      <c r="BM104" s="144"/>
      <c r="BN104" s="144"/>
      <c r="BO104" s="144" t="s">
        <v>20</v>
      </c>
      <c r="BP104" s="144"/>
      <c r="BQ104" s="144">
        <f>BQ101-BQ103</f>
        <v>-4160956.64152</v>
      </c>
    </row>
    <row r="105" spans="1:69" ht="12.75">
      <c r="A105" s="378" t="s">
        <v>18</v>
      </c>
      <c r="B105" s="432"/>
      <c r="C105" s="377"/>
      <c r="D105" s="377"/>
      <c r="E105" s="377"/>
      <c r="F105" s="377"/>
      <c r="G105" s="377"/>
      <c r="H105" s="377"/>
      <c r="I105" s="377"/>
      <c r="J105" s="144"/>
      <c r="K105" s="144"/>
      <c r="L105" s="377" t="s">
        <v>18</v>
      </c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144"/>
      <c r="AD105" s="377" t="s">
        <v>18</v>
      </c>
      <c r="AE105" s="377"/>
      <c r="AF105" s="377"/>
      <c r="AG105" s="377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144"/>
      <c r="AS105" s="377" t="s">
        <v>18</v>
      </c>
      <c r="AT105" s="377"/>
      <c r="AU105" s="377"/>
      <c r="AV105" s="377"/>
      <c r="AW105" s="377"/>
      <c r="AX105" s="377"/>
      <c r="AY105" s="377"/>
      <c r="AZ105" s="377"/>
      <c r="BA105" s="377"/>
      <c r="BB105" s="377"/>
      <c r="BC105" s="377"/>
      <c r="BD105" s="144"/>
      <c r="BE105" s="438"/>
      <c r="BF105" s="377" t="s">
        <v>18</v>
      </c>
      <c r="BG105" s="377"/>
      <c r="BH105" s="377"/>
      <c r="BI105" s="377"/>
      <c r="BJ105" s="377"/>
      <c r="BK105" s="377"/>
      <c r="BL105" s="377"/>
      <c r="BM105" s="144"/>
      <c r="BN105" s="144"/>
      <c r="BO105" s="144" t="s">
        <v>18</v>
      </c>
      <c r="BP105" s="144"/>
      <c r="BQ105" s="144"/>
    </row>
    <row r="106" spans="1:69" ht="12.75">
      <c r="A106" s="378"/>
      <c r="B106" s="432" t="s">
        <v>47</v>
      </c>
      <c r="C106" s="377">
        <f aca="true" t="shared" si="73" ref="C106:I106">C87</f>
        <v>20947</v>
      </c>
      <c r="D106" s="377">
        <f t="shared" si="73"/>
        <v>253870</v>
      </c>
      <c r="E106" s="377">
        <f t="shared" si="73"/>
        <v>79024</v>
      </c>
      <c r="F106" s="377">
        <f t="shared" si="73"/>
        <v>353841</v>
      </c>
      <c r="G106" s="377">
        <f t="shared" si="73"/>
        <v>0</v>
      </c>
      <c r="H106" s="377">
        <f t="shared" si="73"/>
        <v>0</v>
      </c>
      <c r="I106" s="377">
        <f t="shared" si="73"/>
        <v>353841</v>
      </c>
      <c r="J106" s="144"/>
      <c r="K106" s="144"/>
      <c r="L106" s="377"/>
      <c r="M106" s="377">
        <f aca="true" t="shared" si="74" ref="M106:AB106">M87</f>
        <v>2440</v>
      </c>
      <c r="N106" s="377">
        <f t="shared" si="74"/>
        <v>12650</v>
      </c>
      <c r="O106" s="377">
        <f t="shared" si="74"/>
        <v>35093</v>
      </c>
      <c r="P106" s="377">
        <f t="shared" si="74"/>
        <v>26966</v>
      </c>
      <c r="Q106" s="377">
        <f t="shared" si="74"/>
        <v>135</v>
      </c>
      <c r="R106" s="377">
        <f t="shared" si="74"/>
        <v>2368</v>
      </c>
      <c r="S106" s="377">
        <f t="shared" si="74"/>
        <v>29033</v>
      </c>
      <c r="T106" s="377">
        <f t="shared" si="74"/>
        <v>0</v>
      </c>
      <c r="U106" s="377">
        <f t="shared" si="74"/>
        <v>0</v>
      </c>
      <c r="V106" s="377">
        <f t="shared" si="74"/>
        <v>16542.3</v>
      </c>
      <c r="W106" s="377">
        <f t="shared" si="74"/>
        <v>127193</v>
      </c>
      <c r="X106" s="377">
        <f t="shared" si="74"/>
        <v>0</v>
      </c>
      <c r="Y106" s="377">
        <f t="shared" si="74"/>
        <v>0</v>
      </c>
      <c r="Z106" s="377">
        <f t="shared" si="74"/>
        <v>1449.7</v>
      </c>
      <c r="AA106" s="377">
        <f t="shared" si="74"/>
        <v>0</v>
      </c>
      <c r="AB106" s="377">
        <f t="shared" si="74"/>
        <v>253870</v>
      </c>
      <c r="AC106" s="144"/>
      <c r="AD106" s="377" t="s">
        <v>1014</v>
      </c>
      <c r="AE106" s="377">
        <f aca="true" t="shared" si="75" ref="AE106:AQ106">AE87</f>
        <v>0</v>
      </c>
      <c r="AF106" s="377">
        <f t="shared" si="75"/>
        <v>0</v>
      </c>
      <c r="AG106" s="377">
        <f t="shared" si="75"/>
        <v>0</v>
      </c>
      <c r="AH106" s="377">
        <f t="shared" si="75"/>
        <v>0</v>
      </c>
      <c r="AI106" s="377">
        <f t="shared" si="75"/>
        <v>0</v>
      </c>
      <c r="AJ106" s="377">
        <f t="shared" si="75"/>
        <v>0</v>
      </c>
      <c r="AK106" s="377">
        <f t="shared" si="75"/>
        <v>0</v>
      </c>
      <c r="AL106" s="377">
        <f t="shared" si="75"/>
        <v>0</v>
      </c>
      <c r="AM106" s="377">
        <f t="shared" si="75"/>
        <v>1449.7</v>
      </c>
      <c r="AN106" s="377">
        <f t="shared" si="75"/>
        <v>0</v>
      </c>
      <c r="AO106" s="377">
        <f t="shared" si="75"/>
        <v>0</v>
      </c>
      <c r="AP106" s="377">
        <f t="shared" si="75"/>
        <v>0</v>
      </c>
      <c r="AQ106" s="377">
        <f t="shared" si="75"/>
        <v>1449.7</v>
      </c>
      <c r="AR106" s="144"/>
      <c r="AS106" s="377" t="s">
        <v>1016</v>
      </c>
      <c r="AT106" s="377">
        <f>AT87</f>
        <v>0</v>
      </c>
      <c r="AU106" s="377"/>
      <c r="AV106" s="377">
        <f aca="true" t="shared" si="76" ref="AV106:BC106">AV87</f>
        <v>0</v>
      </c>
      <c r="AW106" s="377">
        <f t="shared" si="76"/>
        <v>0</v>
      </c>
      <c r="AX106" s="377">
        <f t="shared" si="76"/>
        <v>0</v>
      </c>
      <c r="AY106" s="377">
        <f t="shared" si="76"/>
        <v>0</v>
      </c>
      <c r="AZ106" s="377">
        <f t="shared" si="76"/>
        <v>0</v>
      </c>
      <c r="BA106" s="377">
        <f t="shared" si="76"/>
        <v>0</v>
      </c>
      <c r="BB106" s="377">
        <f t="shared" si="76"/>
        <v>0</v>
      </c>
      <c r="BC106" s="377">
        <f t="shared" si="76"/>
        <v>0</v>
      </c>
      <c r="BD106" s="144"/>
      <c r="BE106" s="438"/>
      <c r="BF106" s="377" t="s">
        <v>1014</v>
      </c>
      <c r="BG106" s="377">
        <f aca="true" t="shared" si="77" ref="BG106:BL106">BG87</f>
        <v>0</v>
      </c>
      <c r="BH106" s="377">
        <f t="shared" si="77"/>
        <v>79024</v>
      </c>
      <c r="BI106" s="377">
        <f t="shared" si="77"/>
        <v>0</v>
      </c>
      <c r="BJ106" s="377">
        <f t="shared" si="77"/>
        <v>0</v>
      </c>
      <c r="BK106" s="377">
        <f t="shared" si="77"/>
        <v>0</v>
      </c>
      <c r="BL106" s="377">
        <f t="shared" si="77"/>
        <v>79024</v>
      </c>
      <c r="BM106" s="144"/>
      <c r="BN106" s="144"/>
      <c r="BO106" s="144"/>
      <c r="BP106" s="144" t="s">
        <v>47</v>
      </c>
      <c r="BQ106" s="144">
        <f>BQ87</f>
        <v>0</v>
      </c>
    </row>
    <row r="107" spans="1:69" ht="12.75">
      <c r="A107" s="434" t="s">
        <v>21</v>
      </c>
      <c r="B107" s="413"/>
      <c r="C107" s="412">
        <f>C104-C106</f>
        <v>-7664619</v>
      </c>
      <c r="D107" s="412">
        <f aca="true" t="shared" si="78" ref="D107:BL107">D104-D106</f>
        <v>-4872723.100000001</v>
      </c>
      <c r="E107" s="412">
        <f t="shared" si="78"/>
        <v>-1733202.7400000002</v>
      </c>
      <c r="F107" s="412">
        <f t="shared" si="78"/>
        <v>-14270544.840000002</v>
      </c>
      <c r="G107" s="412">
        <f t="shared" si="78"/>
        <v>12523001</v>
      </c>
      <c r="H107" s="412">
        <f t="shared" si="78"/>
        <v>0</v>
      </c>
      <c r="I107" s="412">
        <f t="shared" si="78"/>
        <v>-26793545.840000004</v>
      </c>
      <c r="J107" s="144"/>
      <c r="K107" s="144"/>
      <c r="L107" s="379" t="s">
        <v>21</v>
      </c>
      <c r="M107" s="412">
        <f t="shared" si="78"/>
        <v>505313.4</v>
      </c>
      <c r="N107" s="412">
        <f t="shared" si="78"/>
        <v>836005</v>
      </c>
      <c r="O107" s="412">
        <f t="shared" si="78"/>
        <v>-1456252</v>
      </c>
      <c r="P107" s="412">
        <f t="shared" si="78"/>
        <v>-50542</v>
      </c>
      <c r="Q107" s="412">
        <f t="shared" si="78"/>
        <v>23837</v>
      </c>
      <c r="R107" s="412">
        <f t="shared" si="78"/>
        <v>-214255</v>
      </c>
      <c r="S107" s="412">
        <f t="shared" si="78"/>
        <v>-3139907</v>
      </c>
      <c r="T107" s="412">
        <f t="shared" si="78"/>
        <v>-7466.5</v>
      </c>
      <c r="U107" s="412">
        <f t="shared" si="78"/>
        <v>0</v>
      </c>
      <c r="V107" s="412">
        <f t="shared" si="78"/>
        <v>-164526.05</v>
      </c>
      <c r="W107" s="412">
        <f t="shared" si="78"/>
        <v>-1173453</v>
      </c>
      <c r="X107" s="412">
        <f t="shared" si="78"/>
        <v>0</v>
      </c>
      <c r="Y107" s="412">
        <f t="shared" si="78"/>
        <v>0</v>
      </c>
      <c r="Z107" s="412">
        <f t="shared" si="78"/>
        <v>-30676.95</v>
      </c>
      <c r="AA107" s="412">
        <f t="shared" si="78"/>
        <v>-800</v>
      </c>
      <c r="AB107" s="412">
        <f t="shared" si="78"/>
        <v>-4872723.100000001</v>
      </c>
      <c r="AC107" s="144"/>
      <c r="AD107" s="379" t="s">
        <v>21</v>
      </c>
      <c r="AE107" s="412">
        <f t="shared" si="78"/>
        <v>0</v>
      </c>
      <c r="AF107" s="412">
        <f t="shared" si="78"/>
        <v>0</v>
      </c>
      <c r="AG107" s="412">
        <f t="shared" si="78"/>
        <v>0</v>
      </c>
      <c r="AH107" s="412">
        <f t="shared" si="78"/>
        <v>-600</v>
      </c>
      <c r="AI107" s="412">
        <f t="shared" si="78"/>
        <v>-400</v>
      </c>
      <c r="AJ107" s="412">
        <f t="shared" si="78"/>
        <v>-400</v>
      </c>
      <c r="AK107" s="412">
        <f t="shared" si="78"/>
        <v>0</v>
      </c>
      <c r="AL107" s="412">
        <f t="shared" si="78"/>
        <v>0</v>
      </c>
      <c r="AM107" s="412">
        <f t="shared" si="78"/>
        <v>-1449.7</v>
      </c>
      <c r="AN107" s="412">
        <f t="shared" si="78"/>
        <v>-27827.25</v>
      </c>
      <c r="AO107" s="412">
        <f t="shared" si="78"/>
        <v>0</v>
      </c>
      <c r="AP107" s="412">
        <f t="shared" si="78"/>
        <v>0</v>
      </c>
      <c r="AQ107" s="412">
        <f t="shared" si="78"/>
        <v>-30676.95</v>
      </c>
      <c r="AR107" s="144"/>
      <c r="AS107" s="379" t="s">
        <v>21</v>
      </c>
      <c r="AT107" s="412">
        <f t="shared" si="78"/>
        <v>0</v>
      </c>
      <c r="AU107" s="412"/>
      <c r="AV107" s="412">
        <f t="shared" si="78"/>
        <v>-400</v>
      </c>
      <c r="AW107" s="412">
        <f t="shared" si="78"/>
        <v>-400</v>
      </c>
      <c r="AX107" s="412">
        <f t="shared" si="78"/>
        <v>0</v>
      </c>
      <c r="AY107" s="412">
        <f t="shared" si="78"/>
        <v>0</v>
      </c>
      <c r="AZ107" s="412">
        <f t="shared" si="78"/>
        <v>0</v>
      </c>
      <c r="BA107" s="412">
        <f t="shared" si="78"/>
        <v>0</v>
      </c>
      <c r="BB107" s="412">
        <f t="shared" si="78"/>
        <v>0</v>
      </c>
      <c r="BC107" s="412">
        <f t="shared" si="78"/>
        <v>-800</v>
      </c>
      <c r="BD107" s="144"/>
      <c r="BE107" s="438"/>
      <c r="BF107" s="379" t="s">
        <v>21</v>
      </c>
      <c r="BG107" s="412">
        <f t="shared" si="78"/>
        <v>-84895.65</v>
      </c>
      <c r="BH107" s="412">
        <f t="shared" si="78"/>
        <v>-240329</v>
      </c>
      <c r="BI107" s="412">
        <f t="shared" si="78"/>
        <v>-1407978.09</v>
      </c>
      <c r="BJ107" s="412">
        <f t="shared" si="78"/>
        <v>0</v>
      </c>
      <c r="BK107" s="412">
        <f t="shared" si="78"/>
        <v>0</v>
      </c>
      <c r="BL107" s="412">
        <f t="shared" si="78"/>
        <v>-1733202.7400000002</v>
      </c>
      <c r="BM107" s="144"/>
      <c r="BN107" s="144"/>
      <c r="BO107" s="144" t="s">
        <v>21</v>
      </c>
      <c r="BP107" s="144"/>
      <c r="BQ107" s="144">
        <f>BQ104-BQ106</f>
        <v>-4160956.64152</v>
      </c>
    </row>
    <row r="108" spans="1:64" ht="12.75">
      <c r="A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438"/>
      <c r="BF108" s="144"/>
      <c r="BG108" s="144"/>
      <c r="BH108" s="144"/>
      <c r="BI108" s="144"/>
      <c r="BJ108" s="144"/>
      <c r="BK108" s="144"/>
      <c r="BL108" s="144"/>
    </row>
    <row r="109" spans="1:64" ht="12.75">
      <c r="A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438"/>
      <c r="BF109" s="144"/>
      <c r="BG109" s="144"/>
      <c r="BH109" s="144"/>
      <c r="BI109" s="144"/>
      <c r="BJ109" s="144"/>
      <c r="BK109" s="144"/>
      <c r="BL109" s="144"/>
    </row>
    <row r="110" spans="1:64" ht="12.75">
      <c r="A110" s="565" t="s">
        <v>784</v>
      </c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438"/>
      <c r="BF110" s="144"/>
      <c r="BG110" s="144"/>
      <c r="BH110" s="144"/>
      <c r="BI110" s="144"/>
      <c r="BJ110" s="144"/>
      <c r="BK110" s="144"/>
      <c r="BL110" s="144"/>
    </row>
    <row r="111" spans="1:64" ht="12.75">
      <c r="A111" s="373" t="s">
        <v>1155</v>
      </c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438"/>
      <c r="BF111" s="144"/>
      <c r="BG111" s="144"/>
      <c r="BH111" s="144"/>
      <c r="BI111" s="144"/>
      <c r="BJ111" s="144"/>
      <c r="BK111" s="144"/>
      <c r="BL111" s="144"/>
    </row>
    <row r="112" spans="1:69" ht="12.75">
      <c r="A112" s="144" t="s">
        <v>782</v>
      </c>
      <c r="B112" s="91"/>
      <c r="C112" s="144">
        <v>0</v>
      </c>
      <c r="D112" s="144">
        <v>6405985</v>
      </c>
      <c r="E112" s="144">
        <v>2986764</v>
      </c>
      <c r="F112" s="144">
        <v>9392749</v>
      </c>
      <c r="G112" s="144"/>
      <c r="H112" s="144">
        <v>0</v>
      </c>
      <c r="I112" s="144">
        <v>9392749</v>
      </c>
      <c r="J112" s="144"/>
      <c r="K112" s="144"/>
      <c r="L112" s="144" t="s">
        <v>97</v>
      </c>
      <c r="M112" s="144">
        <v>1494575</v>
      </c>
      <c r="N112" s="144">
        <v>2114066</v>
      </c>
      <c r="O112" s="144">
        <v>1100915</v>
      </c>
      <c r="P112" s="144">
        <v>0</v>
      </c>
      <c r="Q112" s="564">
        <v>0</v>
      </c>
      <c r="R112" s="144">
        <v>0</v>
      </c>
      <c r="S112" s="144">
        <v>0</v>
      </c>
      <c r="T112" s="144">
        <v>49250</v>
      </c>
      <c r="U112" s="144">
        <v>0</v>
      </c>
      <c r="V112" s="144">
        <v>843112</v>
      </c>
      <c r="W112" s="144">
        <v>804067</v>
      </c>
      <c r="X112" s="144">
        <v>0</v>
      </c>
      <c r="Y112" s="144">
        <v>0</v>
      </c>
      <c r="Z112" s="144">
        <v>0</v>
      </c>
      <c r="AA112" s="144">
        <v>0</v>
      </c>
      <c r="AB112" s="144">
        <v>6405985</v>
      </c>
      <c r="AC112" s="144"/>
      <c r="AD112" s="144" t="s">
        <v>97</v>
      </c>
      <c r="AE112" s="144">
        <v>0</v>
      </c>
      <c r="AF112" s="144">
        <v>0</v>
      </c>
      <c r="AG112" s="144">
        <v>0</v>
      </c>
      <c r="AH112" s="144">
        <v>0</v>
      </c>
      <c r="AI112" s="144">
        <v>0</v>
      </c>
      <c r="AJ112" s="144">
        <v>0</v>
      </c>
      <c r="AK112" s="144">
        <v>0</v>
      </c>
      <c r="AL112" s="144">
        <v>0</v>
      </c>
      <c r="AM112" s="144">
        <v>0</v>
      </c>
      <c r="AN112" s="144">
        <v>0</v>
      </c>
      <c r="AO112" s="144">
        <v>0</v>
      </c>
      <c r="AP112" s="144">
        <v>0</v>
      </c>
      <c r="AQ112" s="144">
        <v>0</v>
      </c>
      <c r="AR112" s="144"/>
      <c r="AS112" s="144" t="s">
        <v>97</v>
      </c>
      <c r="AT112" s="144">
        <v>0</v>
      </c>
      <c r="AU112" s="144"/>
      <c r="AV112" s="144">
        <v>0</v>
      </c>
      <c r="AW112" s="144">
        <v>0</v>
      </c>
      <c r="AX112" s="144">
        <v>0</v>
      </c>
      <c r="AY112" s="144">
        <v>0</v>
      </c>
      <c r="AZ112" s="144">
        <v>0</v>
      </c>
      <c r="BA112" s="144">
        <v>0</v>
      </c>
      <c r="BB112" s="144">
        <v>0</v>
      </c>
      <c r="BC112" s="144">
        <v>0</v>
      </c>
      <c r="BD112" s="144"/>
      <c r="BE112" s="438"/>
      <c r="BF112" s="144" t="s">
        <v>97</v>
      </c>
      <c r="BG112" s="144">
        <v>0</v>
      </c>
      <c r="BH112" s="144">
        <v>2986764</v>
      </c>
      <c r="BI112" s="144">
        <v>0</v>
      </c>
      <c r="BJ112" s="144"/>
      <c r="BK112" s="144">
        <v>0</v>
      </c>
      <c r="BL112" s="144">
        <v>2986764</v>
      </c>
      <c r="BO112" s="91" t="s">
        <v>97</v>
      </c>
      <c r="BP112" s="91">
        <v>6629000</v>
      </c>
      <c r="BQ112" s="91">
        <v>13874739.22366</v>
      </c>
    </row>
    <row r="113" spans="1:64" ht="12.75">
      <c r="A113" s="144" t="s">
        <v>787</v>
      </c>
      <c r="C113" s="144">
        <f>C8-C112</f>
        <v>0</v>
      </c>
      <c r="D113" s="564">
        <f aca="true" t="shared" si="79" ref="D113:BL113">D8-D112</f>
        <v>-87375.58999999985</v>
      </c>
      <c r="E113" s="564">
        <f t="shared" si="79"/>
        <v>-590709</v>
      </c>
      <c r="F113" s="144">
        <f t="shared" si="79"/>
        <v>-678084.5899999999</v>
      </c>
      <c r="G113" s="144">
        <f t="shared" si="79"/>
        <v>0</v>
      </c>
      <c r="H113" s="144">
        <f t="shared" si="79"/>
        <v>0</v>
      </c>
      <c r="I113" s="144">
        <f t="shared" si="79"/>
        <v>-678084.5899999999</v>
      </c>
      <c r="J113" s="144"/>
      <c r="K113" s="144"/>
      <c r="L113" s="144">
        <f t="shared" si="79"/>
        <v>0</v>
      </c>
      <c r="M113" s="564">
        <f t="shared" si="79"/>
        <v>-131066</v>
      </c>
      <c r="N113" s="564">
        <f t="shared" si="79"/>
        <v>-149438</v>
      </c>
      <c r="O113" s="564">
        <f t="shared" si="79"/>
        <v>-809788</v>
      </c>
      <c r="P113" s="144">
        <f t="shared" si="79"/>
        <v>0</v>
      </c>
      <c r="Q113" s="564">
        <f t="shared" si="79"/>
        <v>598500</v>
      </c>
      <c r="R113" s="144">
        <f t="shared" si="79"/>
        <v>0</v>
      </c>
      <c r="S113" s="144">
        <f t="shared" si="79"/>
        <v>0</v>
      </c>
      <c r="T113" s="144">
        <f t="shared" si="79"/>
        <v>-49250</v>
      </c>
      <c r="U113" s="144">
        <f t="shared" si="79"/>
        <v>0</v>
      </c>
      <c r="V113" s="564">
        <f t="shared" si="79"/>
        <v>460621.4099999999</v>
      </c>
      <c r="W113" s="564">
        <f t="shared" si="79"/>
        <v>-6955</v>
      </c>
      <c r="X113" s="144">
        <f t="shared" si="79"/>
        <v>0</v>
      </c>
      <c r="Y113" s="144">
        <f t="shared" si="79"/>
        <v>0</v>
      </c>
      <c r="Z113" s="144">
        <f t="shared" si="79"/>
        <v>0</v>
      </c>
      <c r="AA113" s="144">
        <f t="shared" si="79"/>
        <v>0</v>
      </c>
      <c r="AB113" s="144">
        <f t="shared" si="79"/>
        <v>-87375.58999999985</v>
      </c>
      <c r="AC113" s="144">
        <f t="shared" si="79"/>
        <v>0</v>
      </c>
      <c r="AD113" s="144">
        <f t="shared" si="79"/>
        <v>0</v>
      </c>
      <c r="AE113" s="144">
        <f t="shared" si="79"/>
        <v>0</v>
      </c>
      <c r="AF113" s="144">
        <f t="shared" si="79"/>
        <v>0</v>
      </c>
      <c r="AG113" s="144">
        <f t="shared" si="79"/>
        <v>0</v>
      </c>
      <c r="AH113" s="144">
        <f t="shared" si="79"/>
        <v>0</v>
      </c>
      <c r="AI113" s="144">
        <f t="shared" si="79"/>
        <v>0</v>
      </c>
      <c r="AJ113" s="144">
        <f t="shared" si="79"/>
        <v>0</v>
      </c>
      <c r="AK113" s="144">
        <f t="shared" si="79"/>
        <v>0</v>
      </c>
      <c r="AL113" s="144">
        <f t="shared" si="79"/>
        <v>0</v>
      </c>
      <c r="AM113" s="144">
        <f t="shared" si="79"/>
        <v>0</v>
      </c>
      <c r="AN113" s="144">
        <f t="shared" si="79"/>
        <v>0</v>
      </c>
      <c r="AO113" s="144">
        <f t="shared" si="79"/>
        <v>0</v>
      </c>
      <c r="AP113" s="144">
        <f t="shared" si="79"/>
        <v>0</v>
      </c>
      <c r="AQ113" s="144">
        <f t="shared" si="79"/>
        <v>0</v>
      </c>
      <c r="AR113" s="144">
        <f t="shared" si="79"/>
        <v>0</v>
      </c>
      <c r="AS113" s="144">
        <f t="shared" si="79"/>
        <v>0</v>
      </c>
      <c r="AT113" s="144">
        <f t="shared" si="79"/>
        <v>0</v>
      </c>
      <c r="AU113" s="144"/>
      <c r="AV113" s="144">
        <f t="shared" si="79"/>
        <v>0</v>
      </c>
      <c r="AW113" s="144">
        <f t="shared" si="79"/>
        <v>0</v>
      </c>
      <c r="AX113" s="144">
        <f t="shared" si="79"/>
        <v>0</v>
      </c>
      <c r="AY113" s="144">
        <f t="shared" si="79"/>
        <v>0</v>
      </c>
      <c r="AZ113" s="144">
        <f t="shared" si="79"/>
        <v>0</v>
      </c>
      <c r="BA113" s="144">
        <f t="shared" si="79"/>
        <v>0</v>
      </c>
      <c r="BB113" s="144">
        <f t="shared" si="79"/>
        <v>0</v>
      </c>
      <c r="BC113" s="144">
        <f t="shared" si="79"/>
        <v>0</v>
      </c>
      <c r="BD113" s="144"/>
      <c r="BE113" s="144"/>
      <c r="BF113" s="144">
        <f t="shared" si="79"/>
        <v>0</v>
      </c>
      <c r="BG113" s="144">
        <f t="shared" si="79"/>
        <v>0</v>
      </c>
      <c r="BH113" s="564">
        <f t="shared" si="79"/>
        <v>-590709</v>
      </c>
      <c r="BI113" s="144">
        <f t="shared" si="79"/>
        <v>0</v>
      </c>
      <c r="BJ113" s="144">
        <f t="shared" si="79"/>
        <v>0</v>
      </c>
      <c r="BK113" s="144">
        <f t="shared" si="79"/>
        <v>0</v>
      </c>
      <c r="BL113" s="144">
        <f t="shared" si="79"/>
        <v>-590709</v>
      </c>
    </row>
    <row r="114" spans="1:64" ht="12.75">
      <c r="A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438"/>
      <c r="BF114" s="144"/>
      <c r="BG114" s="144"/>
      <c r="BH114" s="144"/>
      <c r="BI114" s="144"/>
      <c r="BJ114" s="144"/>
      <c r="BK114" s="144"/>
      <c r="BL114" s="144"/>
    </row>
    <row r="115" spans="1:64" ht="12.75">
      <c r="A115" s="394" t="s">
        <v>17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438"/>
      <c r="BF115" s="144"/>
      <c r="BG115" s="144"/>
      <c r="BH115" s="144"/>
      <c r="BI115" s="144"/>
      <c r="BJ115" s="144"/>
      <c r="BK115" s="144"/>
      <c r="BL115" s="144"/>
    </row>
    <row r="116" spans="1:69" ht="12.75">
      <c r="A116" s="144" t="s">
        <v>782</v>
      </c>
      <c r="C116" s="144">
        <v>-799291.97</v>
      </c>
      <c r="D116" s="144">
        <v>2584477.79</v>
      </c>
      <c r="E116" s="144">
        <v>65713</v>
      </c>
      <c r="F116" s="144">
        <v>1850898.82</v>
      </c>
      <c r="G116" s="144">
        <v>1385794</v>
      </c>
      <c r="H116" s="144">
        <v>3776556.71</v>
      </c>
      <c r="I116" s="144">
        <v>4241661.53</v>
      </c>
      <c r="J116" s="144"/>
      <c r="K116" s="144"/>
      <c r="L116" s="144" t="s">
        <v>17</v>
      </c>
      <c r="M116" s="144">
        <v>721017</v>
      </c>
      <c r="N116" s="144">
        <v>1344929</v>
      </c>
      <c r="O116" s="144">
        <v>-108288</v>
      </c>
      <c r="P116" s="144">
        <v>-35239</v>
      </c>
      <c r="Q116" s="144">
        <v>45729</v>
      </c>
      <c r="R116" s="144">
        <v>-208449</v>
      </c>
      <c r="S116" s="438">
        <v>1008149</v>
      </c>
      <c r="T116" s="144">
        <v>0</v>
      </c>
      <c r="U116" s="144">
        <v>-30</v>
      </c>
      <c r="V116" s="144">
        <v>-238632</v>
      </c>
      <c r="W116" s="144">
        <v>51412</v>
      </c>
      <c r="X116" s="144">
        <v>0</v>
      </c>
      <c r="Y116" s="144">
        <v>0</v>
      </c>
      <c r="Z116" s="144">
        <v>3879.79</v>
      </c>
      <c r="AA116" s="144">
        <v>0</v>
      </c>
      <c r="AB116" s="144">
        <v>2584477.79</v>
      </c>
      <c r="AC116" s="144"/>
      <c r="AD116" s="144" t="s">
        <v>17</v>
      </c>
      <c r="AE116" s="144"/>
      <c r="AF116" s="144">
        <v>-1564</v>
      </c>
      <c r="AG116" s="144">
        <v>0</v>
      </c>
      <c r="AH116" s="144">
        <v>0</v>
      </c>
      <c r="AI116" s="144">
        <v>0</v>
      </c>
      <c r="AJ116" s="144">
        <v>0</v>
      </c>
      <c r="AK116" s="144">
        <v>0</v>
      </c>
      <c r="AL116" s="144">
        <v>0</v>
      </c>
      <c r="AM116" s="144">
        <v>-1831.31</v>
      </c>
      <c r="AN116" s="144">
        <v>8098.1</v>
      </c>
      <c r="AO116" s="144">
        <v>0</v>
      </c>
      <c r="AP116" s="144">
        <v>0</v>
      </c>
      <c r="AQ116" s="144">
        <v>3879.79</v>
      </c>
      <c r="AR116" s="144"/>
      <c r="AS116" s="144" t="s">
        <v>17</v>
      </c>
      <c r="AT116" s="144"/>
      <c r="AU116" s="144"/>
      <c r="AV116" s="144">
        <v>0</v>
      </c>
      <c r="AW116" s="144">
        <v>0</v>
      </c>
      <c r="AX116" s="144">
        <v>0</v>
      </c>
      <c r="AY116" s="144">
        <v>0</v>
      </c>
      <c r="AZ116" s="144">
        <v>0</v>
      </c>
      <c r="BA116" s="144">
        <v>0</v>
      </c>
      <c r="BB116" s="144">
        <v>0</v>
      </c>
      <c r="BC116" s="144">
        <v>0</v>
      </c>
      <c r="BD116" s="144"/>
      <c r="BE116" s="438"/>
      <c r="BF116" s="144" t="s">
        <v>17</v>
      </c>
      <c r="BG116" s="144">
        <v>0</v>
      </c>
      <c r="BH116" s="144">
        <v>65733</v>
      </c>
      <c r="BI116" s="144">
        <v>-20</v>
      </c>
      <c r="BJ116" s="144">
        <v>0</v>
      </c>
      <c r="BK116" s="144">
        <v>0</v>
      </c>
      <c r="BL116" s="144">
        <v>65713</v>
      </c>
      <c r="BO116" s="91" t="s">
        <v>17</v>
      </c>
      <c r="BQ116" s="91">
        <v>-4160956.64152</v>
      </c>
    </row>
    <row r="117" spans="1:64" ht="12.75">
      <c r="A117" s="144" t="s">
        <v>786</v>
      </c>
      <c r="C117" s="144">
        <f aca="true" t="shared" si="80" ref="C117:I117">C101-C116</f>
        <v>-4541928.03</v>
      </c>
      <c r="D117" s="564">
        <f t="shared" si="80"/>
        <v>-1700070.3900000006</v>
      </c>
      <c r="E117" s="564">
        <f t="shared" si="80"/>
        <v>-48064</v>
      </c>
      <c r="F117" s="144">
        <f t="shared" si="80"/>
        <v>-6290062.420000002</v>
      </c>
      <c r="G117" s="144">
        <f t="shared" si="80"/>
        <v>11137207</v>
      </c>
      <c r="H117" s="144">
        <f t="shared" si="80"/>
        <v>-3776556.71</v>
      </c>
      <c r="I117" s="144">
        <f t="shared" si="80"/>
        <v>-21203826.130000003</v>
      </c>
      <c r="J117" s="144"/>
      <c r="K117" s="144"/>
      <c r="L117" s="144"/>
      <c r="M117" s="144">
        <f aca="true" t="shared" si="81" ref="M117:BC117">M101-M116</f>
        <v>-213240.59999999998</v>
      </c>
      <c r="N117" s="564">
        <f t="shared" si="81"/>
        <v>-496231</v>
      </c>
      <c r="O117" s="564">
        <f t="shared" si="81"/>
        <v>129567</v>
      </c>
      <c r="P117" s="144">
        <f t="shared" si="81"/>
        <v>11663</v>
      </c>
      <c r="Q117" s="144">
        <f t="shared" si="81"/>
        <v>-21702</v>
      </c>
      <c r="R117" s="564">
        <f t="shared" si="81"/>
        <v>-3414</v>
      </c>
      <c r="S117" s="564">
        <f t="shared" si="81"/>
        <v>-1277217</v>
      </c>
      <c r="T117" s="564">
        <f t="shared" si="81"/>
        <v>-7459</v>
      </c>
      <c r="U117" s="144">
        <f t="shared" si="81"/>
        <v>30</v>
      </c>
      <c r="V117" s="144">
        <f t="shared" si="81"/>
        <v>92118.25</v>
      </c>
      <c r="W117" s="564">
        <f t="shared" si="81"/>
        <v>119722</v>
      </c>
      <c r="X117" s="144">
        <f t="shared" si="81"/>
        <v>0</v>
      </c>
      <c r="Y117" s="564">
        <f t="shared" si="81"/>
        <v>0</v>
      </c>
      <c r="Z117" s="144">
        <f t="shared" si="81"/>
        <v>-33107.04</v>
      </c>
      <c r="AA117" s="564">
        <f t="shared" si="81"/>
        <v>-800</v>
      </c>
      <c r="AB117" s="438">
        <f t="shared" si="81"/>
        <v>-1700070.3900000006</v>
      </c>
      <c r="AC117" s="144">
        <f t="shared" si="81"/>
        <v>0</v>
      </c>
      <c r="AD117" s="144">
        <f t="shared" si="81"/>
        <v>0</v>
      </c>
      <c r="AE117" s="144">
        <f t="shared" si="81"/>
        <v>0</v>
      </c>
      <c r="AF117" s="144">
        <f t="shared" si="81"/>
        <v>1564</v>
      </c>
      <c r="AG117" s="144">
        <f t="shared" si="81"/>
        <v>0</v>
      </c>
      <c r="AH117" s="144">
        <f t="shared" si="81"/>
        <v>-600</v>
      </c>
      <c r="AI117" s="144">
        <f t="shared" si="81"/>
        <v>-400</v>
      </c>
      <c r="AJ117" s="144">
        <f t="shared" si="81"/>
        <v>-400</v>
      </c>
      <c r="AK117" s="144">
        <f t="shared" si="81"/>
        <v>0</v>
      </c>
      <c r="AL117" s="144">
        <f t="shared" si="81"/>
        <v>0</v>
      </c>
      <c r="AM117" s="144">
        <f t="shared" si="81"/>
        <v>1831.31</v>
      </c>
      <c r="AN117" s="144">
        <f t="shared" si="81"/>
        <v>-35925.35</v>
      </c>
      <c r="AO117" s="144">
        <f t="shared" si="81"/>
        <v>0</v>
      </c>
      <c r="AP117" s="144">
        <f t="shared" si="81"/>
        <v>0</v>
      </c>
      <c r="AQ117" s="144">
        <f t="shared" si="81"/>
        <v>-33107.04</v>
      </c>
      <c r="AR117" s="144">
        <f t="shared" si="81"/>
        <v>0</v>
      </c>
      <c r="AS117" s="144">
        <f t="shared" si="81"/>
        <v>0</v>
      </c>
      <c r="AT117" s="144">
        <f t="shared" si="81"/>
        <v>0</v>
      </c>
      <c r="AU117" s="144"/>
      <c r="AV117" s="144">
        <f t="shared" si="81"/>
        <v>-400</v>
      </c>
      <c r="AW117" s="144">
        <f t="shared" si="81"/>
        <v>-400</v>
      </c>
      <c r="AX117" s="144">
        <f t="shared" si="81"/>
        <v>0</v>
      </c>
      <c r="AY117" s="144">
        <f t="shared" si="81"/>
        <v>0</v>
      </c>
      <c r="AZ117" s="144">
        <f t="shared" si="81"/>
        <v>0</v>
      </c>
      <c r="BA117" s="144">
        <f t="shared" si="81"/>
        <v>0</v>
      </c>
      <c r="BB117" s="144">
        <f t="shared" si="81"/>
        <v>0</v>
      </c>
      <c r="BC117" s="144">
        <f t="shared" si="81"/>
        <v>-800</v>
      </c>
      <c r="BD117" s="144"/>
      <c r="BE117" s="144"/>
      <c r="BF117" s="144">
        <f aca="true" t="shared" si="82" ref="BF117:BL117">BF101-BF116</f>
        <v>0</v>
      </c>
      <c r="BG117" s="144">
        <f t="shared" si="82"/>
        <v>0</v>
      </c>
      <c r="BH117" s="564">
        <f t="shared" si="82"/>
        <v>-48084</v>
      </c>
      <c r="BI117" s="144">
        <f t="shared" si="82"/>
        <v>20</v>
      </c>
      <c r="BJ117" s="144">
        <f t="shared" si="82"/>
        <v>0</v>
      </c>
      <c r="BK117" s="144">
        <f t="shared" si="82"/>
        <v>0</v>
      </c>
      <c r="BL117" s="144">
        <f t="shared" si="82"/>
        <v>-48064</v>
      </c>
    </row>
    <row r="118" spans="1:64" ht="12.75">
      <c r="A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438"/>
      <c r="BF118" s="144"/>
      <c r="BG118" s="144"/>
      <c r="BH118" s="144"/>
      <c r="BI118" s="144"/>
      <c r="BJ118" s="144"/>
      <c r="BK118" s="144"/>
      <c r="BL118" s="144"/>
    </row>
    <row r="119" spans="1:64" ht="12.75">
      <c r="A119" s="373" t="s">
        <v>785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438"/>
      <c r="BF119" s="144"/>
      <c r="BG119" s="144"/>
      <c r="BH119" s="144"/>
      <c r="BI119" s="144"/>
      <c r="BJ119" s="144"/>
      <c r="BK119" s="144"/>
      <c r="BL119" s="144"/>
    </row>
    <row r="120" spans="1:64" ht="12.75">
      <c r="A120" s="144" t="s">
        <v>782</v>
      </c>
      <c r="C120" s="144">
        <v>9427610.454233978</v>
      </c>
      <c r="D120" s="144">
        <v>5467360.15</v>
      </c>
      <c r="E120" s="144">
        <v>1726690.77</v>
      </c>
      <c r="F120" s="144">
        <v>17971139.374233976</v>
      </c>
      <c r="G120" s="144">
        <v>0</v>
      </c>
      <c r="H120" s="144">
        <v>0</v>
      </c>
      <c r="I120" s="144">
        <v>17971139.374233976</v>
      </c>
      <c r="J120" s="144"/>
      <c r="K120" s="144"/>
      <c r="L120" s="144"/>
      <c r="M120" s="144">
        <v>414831</v>
      </c>
      <c r="N120" s="144">
        <v>264716</v>
      </c>
      <c r="O120" s="144">
        <v>1145868</v>
      </c>
      <c r="P120" s="144">
        <v>109548</v>
      </c>
      <c r="Q120" s="144">
        <v>981</v>
      </c>
      <c r="R120" s="144">
        <v>218410</v>
      </c>
      <c r="S120" s="144">
        <v>3431514</v>
      </c>
      <c r="T120" s="144">
        <v>0</v>
      </c>
      <c r="U120" s="144">
        <v>30</v>
      </c>
      <c r="V120" s="144">
        <v>285560</v>
      </c>
      <c r="W120" s="144">
        <v>496649</v>
      </c>
      <c r="X120" s="144">
        <v>115</v>
      </c>
      <c r="Y120" s="144">
        <v>115</v>
      </c>
      <c r="Z120" s="144">
        <v>6119.15</v>
      </c>
      <c r="AA120" s="144">
        <v>0</v>
      </c>
      <c r="AB120" s="144">
        <v>5467360.15</v>
      </c>
      <c r="AC120" s="144"/>
      <c r="AD120" s="144"/>
      <c r="AE120" s="144">
        <v>823.15</v>
      </c>
      <c r="AF120" s="144">
        <v>1564</v>
      </c>
      <c r="AG120" s="144">
        <v>0</v>
      </c>
      <c r="AH120" s="144">
        <v>0</v>
      </c>
      <c r="AI120" s="144">
        <v>0</v>
      </c>
      <c r="AJ120" s="144">
        <v>0</v>
      </c>
      <c r="AK120" s="144">
        <v>0</v>
      </c>
      <c r="AL120" s="144">
        <v>0</v>
      </c>
      <c r="AM120" s="144">
        <v>1831</v>
      </c>
      <c r="AN120" s="144">
        <v>1901</v>
      </c>
      <c r="AO120" s="144">
        <v>0</v>
      </c>
      <c r="AP120" s="144">
        <v>0</v>
      </c>
      <c r="AQ120" s="144">
        <v>6119.15</v>
      </c>
      <c r="AR120" s="144"/>
      <c r="AS120" s="144"/>
      <c r="AT120" s="144">
        <v>0</v>
      </c>
      <c r="AU120" s="144"/>
      <c r="AV120" s="144">
        <v>0</v>
      </c>
      <c r="AW120" s="144">
        <v>0</v>
      </c>
      <c r="AX120" s="144">
        <v>0</v>
      </c>
      <c r="AY120" s="144">
        <v>0</v>
      </c>
      <c r="AZ120" s="144">
        <v>0</v>
      </c>
      <c r="BA120" s="144">
        <v>0</v>
      </c>
      <c r="BB120" s="144">
        <v>0</v>
      </c>
      <c r="BC120" s="144">
        <v>0</v>
      </c>
      <c r="BD120" s="144"/>
      <c r="BE120" s="438"/>
      <c r="BF120" s="144"/>
      <c r="BG120" s="144">
        <v>94679.87</v>
      </c>
      <c r="BH120" s="144">
        <v>745414</v>
      </c>
      <c r="BI120" s="144">
        <v>1328978.9</v>
      </c>
      <c r="BJ120" s="144">
        <v>0</v>
      </c>
      <c r="BK120" s="144">
        <v>0</v>
      </c>
      <c r="BL120" s="144">
        <v>1726690.77</v>
      </c>
    </row>
    <row r="121" spans="1:64" ht="12.75">
      <c r="A121" s="144" t="s">
        <v>783</v>
      </c>
      <c r="C121" s="144">
        <f aca="true" t="shared" si="83" ref="C121:I121">C89-C120</f>
        <v>-6874528.454233978</v>
      </c>
      <c r="D121" s="144">
        <f t="shared" si="83"/>
        <v>1382760.1099999994</v>
      </c>
      <c r="E121" s="144">
        <f t="shared" si="83"/>
        <v>28887.970000000205</v>
      </c>
      <c r="F121" s="144">
        <f t="shared" si="83"/>
        <v>-5443772.484233975</v>
      </c>
      <c r="G121" s="144">
        <f t="shared" si="83"/>
        <v>0</v>
      </c>
      <c r="H121" s="144">
        <f t="shared" si="83"/>
        <v>0</v>
      </c>
      <c r="I121" s="144">
        <f t="shared" si="83"/>
        <v>-5443772.484233975</v>
      </c>
      <c r="J121" s="144"/>
      <c r="K121" s="144"/>
      <c r="L121" s="144">
        <f aca="true" t="shared" si="84" ref="L121:BC121">L89-L120</f>
        <v>0</v>
      </c>
      <c r="M121" s="144">
        <f t="shared" si="84"/>
        <v>-186187</v>
      </c>
      <c r="N121" s="144">
        <f t="shared" si="84"/>
        <v>-236232</v>
      </c>
      <c r="O121" s="144">
        <f t="shared" si="84"/>
        <v>549449</v>
      </c>
      <c r="P121" s="144">
        <f t="shared" si="84"/>
        <v>-59006</v>
      </c>
      <c r="Q121" s="144">
        <f t="shared" si="84"/>
        <v>-698</v>
      </c>
      <c r="R121" s="144">
        <f t="shared" si="84"/>
        <v>-4156</v>
      </c>
      <c r="S121" s="144">
        <f t="shared" si="84"/>
        <v>-51272</v>
      </c>
      <c r="T121" s="144">
        <f t="shared" si="84"/>
        <v>7466.5</v>
      </c>
      <c r="U121" s="144">
        <f t="shared" si="84"/>
        <v>-30</v>
      </c>
      <c r="V121" s="144">
        <f t="shared" si="84"/>
        <v>-88371.29999999999</v>
      </c>
      <c r="W121" s="144">
        <f t="shared" si="84"/>
        <v>1396828</v>
      </c>
      <c r="X121" s="144">
        <f t="shared" si="84"/>
        <v>-115</v>
      </c>
      <c r="Y121" s="144">
        <f t="shared" si="84"/>
        <v>-115</v>
      </c>
      <c r="Z121" s="144">
        <f t="shared" si="84"/>
        <v>39557.799999999996</v>
      </c>
      <c r="AA121" s="144">
        <f t="shared" si="84"/>
        <v>800</v>
      </c>
      <c r="AB121" s="144">
        <f t="shared" si="84"/>
        <v>1382760.1099999994</v>
      </c>
      <c r="AC121" s="144">
        <f t="shared" si="84"/>
        <v>0</v>
      </c>
      <c r="AD121" s="144">
        <f t="shared" si="84"/>
        <v>0</v>
      </c>
      <c r="AE121" s="144">
        <f t="shared" si="84"/>
        <v>-823.15</v>
      </c>
      <c r="AF121" s="144">
        <f t="shared" si="84"/>
        <v>-1564</v>
      </c>
      <c r="AG121" s="144">
        <f t="shared" si="84"/>
        <v>0</v>
      </c>
      <c r="AH121" s="144">
        <f t="shared" si="84"/>
        <v>600</v>
      </c>
      <c r="AI121" s="144">
        <f t="shared" si="84"/>
        <v>400</v>
      </c>
      <c r="AJ121" s="144">
        <f t="shared" si="84"/>
        <v>400</v>
      </c>
      <c r="AK121" s="144">
        <f t="shared" si="84"/>
        <v>0</v>
      </c>
      <c r="AL121" s="144">
        <f t="shared" si="84"/>
        <v>0</v>
      </c>
      <c r="AM121" s="144">
        <f t="shared" si="84"/>
        <v>-381.29999999999995</v>
      </c>
      <c r="AN121" s="144">
        <f t="shared" si="84"/>
        <v>40926.25</v>
      </c>
      <c r="AO121" s="144">
        <f t="shared" si="84"/>
        <v>0</v>
      </c>
      <c r="AP121" s="144">
        <f t="shared" si="84"/>
        <v>0</v>
      </c>
      <c r="AQ121" s="144">
        <f t="shared" si="84"/>
        <v>39557.799999999996</v>
      </c>
      <c r="AR121" s="144">
        <f t="shared" si="84"/>
        <v>0</v>
      </c>
      <c r="AS121" s="144">
        <f t="shared" si="84"/>
        <v>0</v>
      </c>
      <c r="AT121" s="144">
        <f t="shared" si="84"/>
        <v>0</v>
      </c>
      <c r="AU121" s="144"/>
      <c r="AV121" s="144">
        <f t="shared" si="84"/>
        <v>400</v>
      </c>
      <c r="AW121" s="144">
        <f t="shared" si="84"/>
        <v>400</v>
      </c>
      <c r="AX121" s="144">
        <f t="shared" si="84"/>
        <v>0</v>
      </c>
      <c r="AY121" s="144">
        <f t="shared" si="84"/>
        <v>0</v>
      </c>
      <c r="AZ121" s="144">
        <f t="shared" si="84"/>
        <v>0</v>
      </c>
      <c r="BA121" s="144">
        <f t="shared" si="84"/>
        <v>0</v>
      </c>
      <c r="BB121" s="144">
        <f t="shared" si="84"/>
        <v>0</v>
      </c>
      <c r="BC121" s="144">
        <f t="shared" si="84"/>
        <v>800</v>
      </c>
      <c r="BD121" s="144"/>
      <c r="BE121" s="144"/>
      <c r="BF121" s="144">
        <f aca="true" t="shared" si="85" ref="BF121:BL121">BF89-BF120</f>
        <v>0</v>
      </c>
      <c r="BG121" s="144">
        <f t="shared" si="85"/>
        <v>-9784.220000000001</v>
      </c>
      <c r="BH121" s="144">
        <f t="shared" si="85"/>
        <v>-6378</v>
      </c>
      <c r="BI121" s="144">
        <f t="shared" si="85"/>
        <v>78999.19000000018</v>
      </c>
      <c r="BJ121" s="144">
        <f t="shared" si="85"/>
        <v>0</v>
      </c>
      <c r="BK121" s="144">
        <f t="shared" si="85"/>
        <v>0</v>
      </c>
      <c r="BL121" s="144">
        <f t="shared" si="85"/>
        <v>28887.970000000205</v>
      </c>
    </row>
    <row r="122" spans="1:64" ht="12.75">
      <c r="A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438"/>
      <c r="BF122" s="144"/>
      <c r="BG122" s="144"/>
      <c r="BH122" s="144"/>
      <c r="BI122" s="144"/>
      <c r="BJ122" s="144"/>
      <c r="BK122" s="144"/>
      <c r="BL122" s="144"/>
    </row>
    <row r="123" spans="1:64" ht="12.75">
      <c r="A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438"/>
      <c r="BF123" s="144"/>
      <c r="BG123" s="144"/>
      <c r="BH123" s="144"/>
      <c r="BI123" s="144"/>
      <c r="BJ123" s="144"/>
      <c r="BK123" s="144"/>
      <c r="BL123" s="144"/>
    </row>
    <row r="124" spans="1:64" ht="12.75">
      <c r="A124" s="144" t="s">
        <v>788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438"/>
      <c r="BF124" s="144"/>
      <c r="BG124" s="144"/>
      <c r="BH124" s="144"/>
      <c r="BI124" s="144"/>
      <c r="BJ124" s="144"/>
      <c r="BK124" s="144"/>
      <c r="BL124" s="144"/>
    </row>
    <row r="125" spans="1:64" ht="12.75">
      <c r="A125" s="144"/>
      <c r="B125" s="567" t="s">
        <v>292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438"/>
      <c r="BF125" s="144"/>
      <c r="BG125" s="144"/>
      <c r="BH125" s="144"/>
      <c r="BI125" s="144"/>
      <c r="BJ125" s="144"/>
      <c r="BK125" s="144"/>
      <c r="BL125" s="144"/>
    </row>
    <row r="126" spans="1:64" ht="12.75">
      <c r="A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438"/>
      <c r="BF126" s="144"/>
      <c r="BG126" s="144"/>
      <c r="BH126" s="144"/>
      <c r="BI126" s="144"/>
      <c r="BJ126" s="144"/>
      <c r="BK126" s="144"/>
      <c r="BL126" s="144"/>
    </row>
    <row r="127" spans="1:64" ht="12.75">
      <c r="A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438"/>
      <c r="BF127" s="144"/>
      <c r="BG127" s="144"/>
      <c r="BH127" s="144"/>
      <c r="BI127" s="144"/>
      <c r="BJ127" s="144"/>
      <c r="BK127" s="144"/>
      <c r="BL127" s="144"/>
    </row>
    <row r="128" spans="1:64" ht="12.75">
      <c r="A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438"/>
      <c r="BF128" s="144"/>
      <c r="BG128" s="144"/>
      <c r="BH128" s="144"/>
      <c r="BI128" s="144"/>
      <c r="BJ128" s="144"/>
      <c r="BK128" s="144"/>
      <c r="BL128" s="144"/>
    </row>
    <row r="129" spans="1:64" ht="12.75">
      <c r="A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438"/>
      <c r="BF129" s="144"/>
      <c r="BG129" s="144"/>
      <c r="BH129" s="144"/>
      <c r="BI129" s="144"/>
      <c r="BJ129" s="144"/>
      <c r="BK129" s="144"/>
      <c r="BL129" s="144"/>
    </row>
    <row r="130" spans="1:64" ht="12.75">
      <c r="A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438"/>
      <c r="BF130" s="144"/>
      <c r="BG130" s="144"/>
      <c r="BH130" s="144"/>
      <c r="BI130" s="144"/>
      <c r="BJ130" s="144"/>
      <c r="BK130" s="144"/>
      <c r="BL130" s="144"/>
    </row>
    <row r="131" spans="1:64" ht="12.75">
      <c r="A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438"/>
      <c r="BF131" s="144"/>
      <c r="BG131" s="144"/>
      <c r="BH131" s="144"/>
      <c r="BI131" s="144"/>
      <c r="BJ131" s="144"/>
      <c r="BK131" s="144"/>
      <c r="BL131" s="144"/>
    </row>
    <row r="132" spans="1:64" ht="12.75">
      <c r="A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438"/>
      <c r="BF132" s="144"/>
      <c r="BG132" s="144"/>
      <c r="BH132" s="144"/>
      <c r="BI132" s="144"/>
      <c r="BJ132" s="144"/>
      <c r="BK132" s="144"/>
      <c r="BL132" s="144"/>
    </row>
    <row r="133" spans="1:64" ht="12.75">
      <c r="A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438"/>
      <c r="BF133" s="144"/>
      <c r="BG133" s="144"/>
      <c r="BH133" s="144"/>
      <c r="BI133" s="144"/>
      <c r="BJ133" s="144"/>
      <c r="BK133" s="144"/>
      <c r="BL133" s="144"/>
    </row>
    <row r="134" spans="1:64" ht="12.75">
      <c r="A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438"/>
      <c r="BF134" s="144"/>
      <c r="BG134" s="144"/>
      <c r="BH134" s="144"/>
      <c r="BI134" s="144"/>
      <c r="BJ134" s="144"/>
      <c r="BK134" s="144"/>
      <c r="BL134" s="144"/>
    </row>
    <row r="135" spans="1:64" ht="12.75">
      <c r="A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438"/>
      <c r="BF135" s="144"/>
      <c r="BG135" s="144"/>
      <c r="BH135" s="144"/>
      <c r="BI135" s="144"/>
      <c r="BJ135" s="144"/>
      <c r="BK135" s="144"/>
      <c r="BL135" s="144"/>
    </row>
    <row r="136" spans="1:64" ht="12.75">
      <c r="A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438"/>
      <c r="BF136" s="144"/>
      <c r="BG136" s="144"/>
      <c r="BH136" s="144"/>
      <c r="BI136" s="144"/>
      <c r="BJ136" s="144"/>
      <c r="BK136" s="144"/>
      <c r="BL136" s="144"/>
    </row>
    <row r="137" spans="1:64" ht="12.75">
      <c r="A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438"/>
      <c r="BF137" s="144"/>
      <c r="BG137" s="144"/>
      <c r="BH137" s="144"/>
      <c r="BI137" s="144"/>
      <c r="BJ137" s="144"/>
      <c r="BK137" s="144"/>
      <c r="BL137" s="144"/>
    </row>
    <row r="138" spans="1:64" ht="12.75">
      <c r="A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438"/>
      <c r="BF138" s="144"/>
      <c r="BG138" s="144"/>
      <c r="BH138" s="144"/>
      <c r="BI138" s="144"/>
      <c r="BJ138" s="144"/>
      <c r="BK138" s="144"/>
      <c r="BL138" s="144"/>
    </row>
    <row r="139" spans="1:64" ht="12.75">
      <c r="A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438"/>
      <c r="BF139" s="144"/>
      <c r="BG139" s="144"/>
      <c r="BH139" s="144"/>
      <c r="BI139" s="144"/>
      <c r="BJ139" s="144"/>
      <c r="BK139" s="144"/>
      <c r="BL139" s="144"/>
    </row>
    <row r="140" spans="1:64" ht="12.75">
      <c r="A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438"/>
      <c r="BF140" s="144"/>
      <c r="BG140" s="144"/>
      <c r="BH140" s="144"/>
      <c r="BI140" s="144"/>
      <c r="BJ140" s="144"/>
      <c r="BK140" s="144"/>
      <c r="BL140" s="144"/>
    </row>
    <row r="141" spans="1:64" ht="12.75">
      <c r="A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438"/>
      <c r="BF141" s="144"/>
      <c r="BG141" s="144"/>
      <c r="BH141" s="144"/>
      <c r="BI141" s="144"/>
      <c r="BJ141" s="144"/>
      <c r="BK141" s="144"/>
      <c r="BL141" s="144"/>
    </row>
    <row r="142" spans="1:64" ht="12.75">
      <c r="A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438"/>
      <c r="BF142" s="144"/>
      <c r="BG142" s="144"/>
      <c r="BH142" s="144"/>
      <c r="BI142" s="144"/>
      <c r="BJ142" s="144"/>
      <c r="BK142" s="144"/>
      <c r="BL142" s="144"/>
    </row>
    <row r="143" spans="1:64" ht="12.75">
      <c r="A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438"/>
      <c r="BF143" s="144"/>
      <c r="BG143" s="144"/>
      <c r="BH143" s="144"/>
      <c r="BI143" s="144"/>
      <c r="BJ143" s="144"/>
      <c r="BK143" s="144"/>
      <c r="BL143" s="144"/>
    </row>
    <row r="144" spans="1:64" ht="12.75">
      <c r="A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438"/>
      <c r="BF144" s="144"/>
      <c r="BG144" s="144"/>
      <c r="BH144" s="144"/>
      <c r="BI144" s="144"/>
      <c r="BJ144" s="144"/>
      <c r="BK144" s="144"/>
      <c r="BL144" s="144"/>
    </row>
    <row r="145" spans="1:64" ht="12.75">
      <c r="A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438"/>
      <c r="BF145" s="144"/>
      <c r="BG145" s="144"/>
      <c r="BH145" s="144"/>
      <c r="BI145" s="144"/>
      <c r="BJ145" s="144"/>
      <c r="BK145" s="144"/>
      <c r="BL145" s="144"/>
    </row>
    <row r="146" spans="1:64" ht="12.75">
      <c r="A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438"/>
      <c r="BF146" s="144"/>
      <c r="BG146" s="144"/>
      <c r="BH146" s="144"/>
      <c r="BI146" s="144"/>
      <c r="BJ146" s="144"/>
      <c r="BK146" s="144"/>
      <c r="BL146" s="144"/>
    </row>
    <row r="147" spans="1:64" ht="12.75">
      <c r="A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438"/>
      <c r="BF147" s="144"/>
      <c r="BG147" s="144"/>
      <c r="BH147" s="144"/>
      <c r="BI147" s="144"/>
      <c r="BJ147" s="144"/>
      <c r="BK147" s="144"/>
      <c r="BL147" s="144"/>
    </row>
    <row r="148" spans="1:64" ht="12.75">
      <c r="A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438"/>
      <c r="BF148" s="144"/>
      <c r="BG148" s="144"/>
      <c r="BH148" s="144"/>
      <c r="BI148" s="144"/>
      <c r="BJ148" s="144"/>
      <c r="BK148" s="144"/>
      <c r="BL148" s="144"/>
    </row>
    <row r="149" spans="1:64" ht="12.75">
      <c r="A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438"/>
      <c r="BF149" s="144"/>
      <c r="BG149" s="144"/>
      <c r="BH149" s="144"/>
      <c r="BI149" s="144"/>
      <c r="BJ149" s="144"/>
      <c r="BK149" s="144"/>
      <c r="BL149" s="144"/>
    </row>
    <row r="150" spans="1:64" ht="12.75">
      <c r="A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438"/>
      <c r="BF150" s="144"/>
      <c r="BG150" s="144"/>
      <c r="BH150" s="144"/>
      <c r="BI150" s="144"/>
      <c r="BJ150" s="144"/>
      <c r="BK150" s="144"/>
      <c r="BL150" s="144"/>
    </row>
    <row r="151" spans="1:64" ht="12.75">
      <c r="A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438"/>
      <c r="BF151" s="144"/>
      <c r="BG151" s="144"/>
      <c r="BH151" s="144"/>
      <c r="BI151" s="144"/>
      <c r="BJ151" s="144"/>
      <c r="BK151" s="144"/>
      <c r="BL151" s="144"/>
    </row>
    <row r="152" spans="1:64" ht="12.75">
      <c r="A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438"/>
      <c r="BF152" s="144"/>
      <c r="BG152" s="144"/>
      <c r="BH152" s="144"/>
      <c r="BI152" s="144"/>
      <c r="BJ152" s="144"/>
      <c r="BK152" s="144"/>
      <c r="BL152" s="144"/>
    </row>
    <row r="153" spans="1:64" ht="12.75">
      <c r="A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438"/>
      <c r="BF153" s="144"/>
      <c r="BG153" s="144"/>
      <c r="BH153" s="144"/>
      <c r="BI153" s="144"/>
      <c r="BJ153" s="144"/>
      <c r="BK153" s="144"/>
      <c r="BL153" s="144"/>
    </row>
    <row r="154" spans="1:64" ht="12.75">
      <c r="A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438"/>
      <c r="BF154" s="144"/>
      <c r="BG154" s="144"/>
      <c r="BH154" s="144"/>
      <c r="BI154" s="144"/>
      <c r="BJ154" s="144"/>
      <c r="BK154" s="144"/>
      <c r="BL154" s="144"/>
    </row>
    <row r="155" spans="1:64" ht="12.75">
      <c r="A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438"/>
      <c r="BF155" s="144"/>
      <c r="BG155" s="144"/>
      <c r="BH155" s="144"/>
      <c r="BI155" s="144"/>
      <c r="BJ155" s="144"/>
      <c r="BK155" s="144"/>
      <c r="BL155" s="144"/>
    </row>
    <row r="156" spans="1:64" ht="12.75">
      <c r="A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438"/>
      <c r="BF156" s="144"/>
      <c r="BG156" s="144"/>
      <c r="BH156" s="144"/>
      <c r="BI156" s="144"/>
      <c r="BJ156" s="144"/>
      <c r="BK156" s="144"/>
      <c r="BL156" s="144"/>
    </row>
    <row r="157" spans="1:64" ht="12.75">
      <c r="A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438"/>
      <c r="BF157" s="144"/>
      <c r="BG157" s="144"/>
      <c r="BH157" s="144"/>
      <c r="BI157" s="144"/>
      <c r="BJ157" s="144"/>
      <c r="BK157" s="144"/>
      <c r="BL157" s="144"/>
    </row>
    <row r="158" spans="1:64" ht="12.75">
      <c r="A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438"/>
      <c r="BF158" s="144"/>
      <c r="BG158" s="144"/>
      <c r="BH158" s="144"/>
      <c r="BI158" s="144"/>
      <c r="BJ158" s="144"/>
      <c r="BK158" s="144"/>
      <c r="BL158" s="144"/>
    </row>
    <row r="159" spans="1:64" ht="12.75">
      <c r="A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438"/>
      <c r="BF159" s="144"/>
      <c r="BG159" s="144"/>
      <c r="BH159" s="144"/>
      <c r="BI159" s="144"/>
      <c r="BJ159" s="144"/>
      <c r="BK159" s="144"/>
      <c r="BL159" s="144"/>
    </row>
    <row r="160" spans="1:64" ht="12.75">
      <c r="A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438"/>
      <c r="BF160" s="144"/>
      <c r="BG160" s="144"/>
      <c r="BH160" s="144"/>
      <c r="BI160" s="144"/>
      <c r="BJ160" s="144"/>
      <c r="BK160" s="144"/>
      <c r="BL160" s="144"/>
    </row>
    <row r="161" spans="1:64" ht="12.75">
      <c r="A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438"/>
      <c r="BF161" s="144"/>
      <c r="BG161" s="144"/>
      <c r="BH161" s="144"/>
      <c r="BI161" s="144"/>
      <c r="BJ161" s="144"/>
      <c r="BK161" s="144"/>
      <c r="BL161" s="144"/>
    </row>
    <row r="162" spans="1:64" ht="12.75">
      <c r="A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438"/>
      <c r="BF162" s="144"/>
      <c r="BG162" s="144"/>
      <c r="BH162" s="144"/>
      <c r="BI162" s="144"/>
      <c r="BJ162" s="144"/>
      <c r="BK162" s="144"/>
      <c r="BL162" s="144"/>
    </row>
    <row r="163" spans="1:64" ht="12.75">
      <c r="A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438"/>
      <c r="BF163" s="144"/>
      <c r="BG163" s="144"/>
      <c r="BH163" s="144"/>
      <c r="BI163" s="144"/>
      <c r="BJ163" s="144"/>
      <c r="BK163" s="144"/>
      <c r="BL163" s="144"/>
    </row>
    <row r="164" spans="1:64" ht="12.75">
      <c r="A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438"/>
      <c r="BF164" s="144"/>
      <c r="BG164" s="144"/>
      <c r="BH164" s="144"/>
      <c r="BI164" s="144"/>
      <c r="BJ164" s="144"/>
      <c r="BK164" s="144"/>
      <c r="BL164" s="144"/>
    </row>
    <row r="165" spans="1:64" ht="12.75">
      <c r="A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438"/>
      <c r="BF165" s="144"/>
      <c r="BG165" s="144"/>
      <c r="BH165" s="144"/>
      <c r="BI165" s="144"/>
      <c r="BJ165" s="144"/>
      <c r="BK165" s="144"/>
      <c r="BL165" s="144"/>
    </row>
    <row r="166" spans="1:64" ht="12.75">
      <c r="A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438"/>
      <c r="BF166" s="144"/>
      <c r="BG166" s="144"/>
      <c r="BH166" s="144"/>
      <c r="BI166" s="144"/>
      <c r="BJ166" s="144"/>
      <c r="BK166" s="144"/>
      <c r="BL166" s="144"/>
    </row>
    <row r="167" spans="1:64" ht="12.75">
      <c r="A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438"/>
      <c r="BF167" s="144"/>
      <c r="BG167" s="144"/>
      <c r="BH167" s="144"/>
      <c r="BI167" s="144"/>
      <c r="BJ167" s="144"/>
      <c r="BK167" s="144"/>
      <c r="BL167" s="144"/>
    </row>
    <row r="168" spans="1:64" ht="12.75">
      <c r="A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438"/>
      <c r="BF168" s="144"/>
      <c r="BG168" s="144"/>
      <c r="BH168" s="144"/>
      <c r="BI168" s="144"/>
      <c r="BJ168" s="144"/>
      <c r="BK168" s="144"/>
      <c r="BL168" s="144"/>
    </row>
    <row r="169" spans="1:64" ht="12.75">
      <c r="A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438"/>
      <c r="BF169" s="144"/>
      <c r="BG169" s="144"/>
      <c r="BH169" s="144"/>
      <c r="BI169" s="144"/>
      <c r="BJ169" s="144"/>
      <c r="BK169" s="144"/>
      <c r="BL169" s="144"/>
    </row>
    <row r="170" spans="1:64" ht="12.75">
      <c r="A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438"/>
      <c r="BF170" s="144"/>
      <c r="BG170" s="144"/>
      <c r="BH170" s="144"/>
      <c r="BI170" s="144"/>
      <c r="BJ170" s="144"/>
      <c r="BK170" s="144"/>
      <c r="BL170" s="144"/>
    </row>
    <row r="171" spans="1:64" ht="12.75">
      <c r="A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438"/>
      <c r="BF171" s="144"/>
      <c r="BG171" s="144"/>
      <c r="BH171" s="144"/>
      <c r="BI171" s="144"/>
      <c r="BJ171" s="144"/>
      <c r="BK171" s="144"/>
      <c r="BL171" s="144"/>
    </row>
    <row r="172" spans="1:64" ht="12.75">
      <c r="A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438"/>
      <c r="BF172" s="144"/>
      <c r="BG172" s="144"/>
      <c r="BH172" s="144"/>
      <c r="BI172" s="144"/>
      <c r="BJ172" s="144"/>
      <c r="BK172" s="144"/>
      <c r="BL172" s="144"/>
    </row>
    <row r="173" spans="1:64" ht="12.75">
      <c r="A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438"/>
      <c r="BF173" s="144"/>
      <c r="BG173" s="144"/>
      <c r="BH173" s="144"/>
      <c r="BI173" s="144"/>
      <c r="BJ173" s="144"/>
      <c r="BK173" s="144"/>
      <c r="BL173" s="144"/>
    </row>
    <row r="174" spans="1:64" ht="12.75">
      <c r="A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438"/>
      <c r="BF174" s="144"/>
      <c r="BG174" s="144"/>
      <c r="BH174" s="144"/>
      <c r="BI174" s="144"/>
      <c r="BJ174" s="144"/>
      <c r="BK174" s="144"/>
      <c r="BL174" s="144"/>
    </row>
    <row r="175" spans="1:64" ht="12.75">
      <c r="A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438"/>
      <c r="BF175" s="144"/>
      <c r="BG175" s="144"/>
      <c r="BH175" s="144"/>
      <c r="BI175" s="144"/>
      <c r="BJ175" s="144"/>
      <c r="BK175" s="144"/>
      <c r="BL175" s="144"/>
    </row>
    <row r="176" spans="1:64" ht="12.75">
      <c r="A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438"/>
      <c r="BF176" s="144"/>
      <c r="BG176" s="144"/>
      <c r="BH176" s="144"/>
      <c r="BI176" s="144"/>
      <c r="BJ176" s="144"/>
      <c r="BK176" s="144"/>
      <c r="BL176" s="144"/>
    </row>
    <row r="177" spans="1:64" ht="12.75">
      <c r="A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438"/>
      <c r="BF177" s="144"/>
      <c r="BG177" s="144"/>
      <c r="BH177" s="144"/>
      <c r="BI177" s="144"/>
      <c r="BJ177" s="144"/>
      <c r="BK177" s="144"/>
      <c r="BL177" s="144"/>
    </row>
    <row r="178" spans="1:64" ht="12.75">
      <c r="A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438"/>
      <c r="BF178" s="144"/>
      <c r="BG178" s="144"/>
      <c r="BH178" s="144"/>
      <c r="BI178" s="144"/>
      <c r="BJ178" s="144"/>
      <c r="BK178" s="144"/>
      <c r="BL178" s="144"/>
    </row>
    <row r="179" spans="1:64" ht="12.75">
      <c r="A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438"/>
      <c r="BF179" s="144"/>
      <c r="BG179" s="144"/>
      <c r="BH179" s="144"/>
      <c r="BI179" s="144"/>
      <c r="BJ179" s="144"/>
      <c r="BK179" s="144"/>
      <c r="BL179" s="144"/>
    </row>
    <row r="180" spans="1:64" ht="12.75">
      <c r="A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438"/>
      <c r="BF180" s="144"/>
      <c r="BG180" s="144"/>
      <c r="BH180" s="144"/>
      <c r="BI180" s="144"/>
      <c r="BJ180" s="144"/>
      <c r="BK180" s="144"/>
      <c r="BL180" s="144"/>
    </row>
    <row r="181" spans="58:64" ht="12.75">
      <c r="BF181" s="144"/>
      <c r="BG181" s="144"/>
      <c r="BH181" s="144"/>
      <c r="BI181" s="144"/>
      <c r="BJ181" s="144"/>
      <c r="BK181" s="144"/>
      <c r="BL181" s="144"/>
    </row>
    <row r="182" spans="59:64" ht="12.75">
      <c r="BG182" s="144"/>
      <c r="BH182" s="144"/>
      <c r="BI182" s="144"/>
      <c r="BJ182" s="144"/>
      <c r="BK182" s="144"/>
      <c r="BL182" s="144"/>
    </row>
  </sheetData>
  <printOptions/>
  <pageMargins left="1" right="0.5" top="0.43" bottom="0.31" header="0.25" footer="0.22"/>
  <pageSetup horizontalDpi="300" verticalDpi="300" orientation="landscape" paperSize="9" scale="50" r:id="rId3"/>
  <headerFooter alignWithMargins="0">
    <oddFooter>&amp;L&amp;"Times New Roman,Regular"&amp;8&amp;F   &amp;A&amp;C&amp;"Times New Roman,Regular"&amp;8&amp;P&amp;R&amp;"Times New Roman,Regular"&amp;8&amp;D   &amp;T</oddFooter>
  </headerFooter>
  <colBreaks count="4" manualBreakCount="4">
    <brk id="11" max="65535" man="1"/>
    <brk id="44" max="65535" man="1"/>
    <brk id="57" max="65535" man="1"/>
    <brk id="6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4"/>
  <sheetViews>
    <sheetView showGridLines="0" zoomScale="75" zoomScaleNormal="75" workbookViewId="0" topLeftCell="A1">
      <pane xSplit="3" ySplit="5" topLeftCell="D8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93" sqref="B93"/>
    </sheetView>
  </sheetViews>
  <sheetFormatPr defaultColWidth="9.140625" defaultRowHeight="12.75"/>
  <cols>
    <col min="1" max="2" width="2.7109375" style="49" customWidth="1"/>
    <col min="3" max="3" width="50.7109375" style="49" customWidth="1"/>
    <col min="4" max="4" width="12.7109375" style="49" customWidth="1"/>
    <col min="5" max="6" width="13.7109375" style="49" customWidth="1"/>
    <col min="7" max="7" width="13.7109375" style="682" customWidth="1"/>
    <col min="8" max="8" width="16.00390625" style="682" bestFit="1" customWidth="1"/>
    <col min="9" max="9" width="17.00390625" style="682" bestFit="1" customWidth="1"/>
    <col min="10" max="10" width="12.00390625" style="49" bestFit="1" customWidth="1"/>
    <col min="11" max="11" width="11.00390625" style="49" bestFit="1" customWidth="1"/>
    <col min="12" max="12" width="8.8515625" style="49" customWidth="1"/>
    <col min="13" max="15" width="12.00390625" style="49" bestFit="1" customWidth="1"/>
    <col min="16" max="16" width="9.00390625" style="49" bestFit="1" customWidth="1"/>
    <col min="17" max="16384" width="8.8515625" style="49" customWidth="1"/>
  </cols>
  <sheetData>
    <row r="1" spans="1:6" ht="15.75">
      <c r="A1" s="47" t="s">
        <v>1383</v>
      </c>
      <c r="B1" s="47"/>
      <c r="C1" s="47"/>
      <c r="D1" s="48"/>
      <c r="E1" s="48"/>
      <c r="F1" s="48"/>
    </row>
    <row r="2" spans="1:6" ht="15.75">
      <c r="A2" s="50" t="s">
        <v>1385</v>
      </c>
      <c r="B2" s="50"/>
      <c r="C2" s="50"/>
      <c r="D2" s="145"/>
      <c r="E2" s="556"/>
      <c r="F2" s="557"/>
    </row>
    <row r="3" spans="1:6" ht="15.75">
      <c r="A3" s="50" t="str">
        <f>+'Con B&amp;S'!A3</f>
        <v>As at 30th September  2000</v>
      </c>
      <c r="B3" s="50"/>
      <c r="C3" s="50"/>
      <c r="D3" s="48"/>
      <c r="E3" s="48"/>
      <c r="F3" s="48"/>
    </row>
    <row r="4" spans="1:15" ht="12.75">
      <c r="A4" s="51"/>
      <c r="B4" s="51"/>
      <c r="C4" s="51"/>
      <c r="D4" s="51"/>
      <c r="E4" s="51"/>
      <c r="F4" s="51"/>
      <c r="G4" s="683"/>
      <c r="O4" s="555"/>
    </row>
    <row r="5" spans="1:7" ht="12.75">
      <c r="A5" s="52" t="s">
        <v>15</v>
      </c>
      <c r="B5" s="53"/>
      <c r="C5" s="53"/>
      <c r="D5" s="54" t="s">
        <v>16</v>
      </c>
      <c r="E5" s="54" t="s">
        <v>1428</v>
      </c>
      <c r="F5" s="54" t="s">
        <v>1429</v>
      </c>
      <c r="G5" s="684"/>
    </row>
    <row r="6" spans="1:7" ht="12.75">
      <c r="A6" s="56"/>
      <c r="B6" s="57"/>
      <c r="C6" s="58"/>
      <c r="D6" s="59"/>
      <c r="E6" s="657"/>
      <c r="F6" s="657"/>
      <c r="G6" s="684"/>
    </row>
    <row r="7" spans="1:7" ht="12.75">
      <c r="A7" s="60" t="s">
        <v>279</v>
      </c>
      <c r="B7" s="61"/>
      <c r="C7" s="62"/>
      <c r="D7" s="63"/>
      <c r="E7" s="658"/>
      <c r="F7" s="658"/>
      <c r="G7" s="684"/>
    </row>
    <row r="8" spans="1:7" ht="12.75">
      <c r="A8" s="56"/>
      <c r="B8" s="61" t="s">
        <v>24</v>
      </c>
      <c r="C8" s="62"/>
      <c r="D8" s="64" t="s">
        <v>25</v>
      </c>
      <c r="E8" s="659">
        <v>10000000</v>
      </c>
      <c r="F8" s="658"/>
      <c r="G8" s="684"/>
    </row>
    <row r="9" spans="1:7" ht="12.75">
      <c r="A9" s="56"/>
      <c r="B9" s="61" t="s">
        <v>175</v>
      </c>
      <c r="C9" s="62"/>
      <c r="D9" s="64" t="s">
        <v>176</v>
      </c>
      <c r="E9" s="659">
        <v>20000</v>
      </c>
      <c r="F9" s="658"/>
      <c r="G9" s="684"/>
    </row>
    <row r="10" spans="1:9" s="216" customFormat="1" ht="12.75">
      <c r="A10" s="213"/>
      <c r="B10" s="214" t="s">
        <v>545</v>
      </c>
      <c r="C10" s="157"/>
      <c r="D10" s="215" t="s">
        <v>715</v>
      </c>
      <c r="E10" s="660">
        <v>980000</v>
      </c>
      <c r="F10" s="661"/>
      <c r="G10" s="685"/>
      <c r="H10" s="686"/>
      <c r="I10" s="686"/>
    </row>
    <row r="11" spans="1:9" s="216" customFormat="1" ht="12.75">
      <c r="A11" s="213"/>
      <c r="B11" s="214" t="s">
        <v>192</v>
      </c>
      <c r="C11" s="157"/>
      <c r="D11" s="215" t="s">
        <v>191</v>
      </c>
      <c r="E11" s="660">
        <v>1500000</v>
      </c>
      <c r="F11" s="661"/>
      <c r="G11" s="685"/>
      <c r="H11" s="686"/>
      <c r="I11" s="686"/>
    </row>
    <row r="12" spans="1:9" s="216" customFormat="1" ht="12.75">
      <c r="A12" s="213"/>
      <c r="B12" s="214" t="s">
        <v>202</v>
      </c>
      <c r="C12" s="157"/>
      <c r="D12" s="215" t="s">
        <v>214</v>
      </c>
      <c r="E12" s="660">
        <v>2</v>
      </c>
      <c r="F12" s="661"/>
      <c r="G12" s="685"/>
      <c r="H12" s="686"/>
      <c r="I12" s="686"/>
    </row>
    <row r="13" spans="1:9" s="216" customFormat="1" ht="12.75">
      <c r="A13" s="213"/>
      <c r="B13" s="214" t="s">
        <v>203</v>
      </c>
      <c r="C13" s="157"/>
      <c r="D13" s="215" t="s">
        <v>214</v>
      </c>
      <c r="E13" s="660">
        <v>2</v>
      </c>
      <c r="F13" s="661"/>
      <c r="G13" s="685"/>
      <c r="H13" s="686"/>
      <c r="I13" s="686"/>
    </row>
    <row r="14" spans="1:9" s="216" customFormat="1" ht="12.75">
      <c r="A14" s="213"/>
      <c r="B14" s="214" t="s">
        <v>1065</v>
      </c>
      <c r="C14" s="157"/>
      <c r="D14" s="215" t="s">
        <v>214</v>
      </c>
      <c r="E14" s="660">
        <v>2</v>
      </c>
      <c r="F14" s="661"/>
      <c r="G14" s="685"/>
      <c r="H14" s="686"/>
      <c r="I14" s="686"/>
    </row>
    <row r="15" spans="1:9" s="216" customFormat="1" ht="12.75">
      <c r="A15" s="213"/>
      <c r="B15" s="214" t="s">
        <v>204</v>
      </c>
      <c r="C15" s="157"/>
      <c r="D15" s="215" t="s">
        <v>214</v>
      </c>
      <c r="E15" s="660">
        <v>2</v>
      </c>
      <c r="F15" s="661"/>
      <c r="G15" s="685"/>
      <c r="H15" s="686"/>
      <c r="I15" s="686"/>
    </row>
    <row r="16" spans="1:9" s="216" customFormat="1" ht="12.75">
      <c r="A16" s="213"/>
      <c r="B16" s="214" t="s">
        <v>205</v>
      </c>
      <c r="C16" s="157"/>
      <c r="D16" s="215" t="s">
        <v>214</v>
      </c>
      <c r="E16" s="660">
        <v>2</v>
      </c>
      <c r="F16" s="661"/>
      <c r="G16" s="685"/>
      <c r="H16" s="686"/>
      <c r="I16" s="686"/>
    </row>
    <row r="17" spans="1:9" s="216" customFormat="1" ht="12.75">
      <c r="A17" s="213"/>
      <c r="B17" s="214" t="s">
        <v>208</v>
      </c>
      <c r="C17" s="157"/>
      <c r="D17" s="215" t="s">
        <v>214</v>
      </c>
      <c r="E17" s="660">
        <v>2</v>
      </c>
      <c r="F17" s="661"/>
      <c r="G17" s="685"/>
      <c r="H17" s="686"/>
      <c r="I17" s="686"/>
    </row>
    <row r="18" spans="1:9" s="216" customFormat="1" ht="12.75">
      <c r="A18" s="213"/>
      <c r="B18" s="214" t="s">
        <v>209</v>
      </c>
      <c r="C18" s="157"/>
      <c r="D18" s="215" t="s">
        <v>214</v>
      </c>
      <c r="E18" s="660">
        <v>2</v>
      </c>
      <c r="F18" s="661"/>
      <c r="G18" s="685"/>
      <c r="H18" s="686"/>
      <c r="I18" s="686"/>
    </row>
    <row r="19" spans="1:9" s="216" customFormat="1" ht="12.75">
      <c r="A19" s="213"/>
      <c r="B19" s="214" t="s">
        <v>209</v>
      </c>
      <c r="C19" s="157"/>
      <c r="D19" s="215" t="s">
        <v>1129</v>
      </c>
      <c r="E19" s="660">
        <v>499998</v>
      </c>
      <c r="F19" s="661"/>
      <c r="G19" s="685"/>
      <c r="H19" s="686"/>
      <c r="I19" s="686"/>
    </row>
    <row r="20" spans="1:9" s="216" customFormat="1" ht="12.75">
      <c r="A20" s="213"/>
      <c r="B20" s="214" t="s">
        <v>210</v>
      </c>
      <c r="C20" s="157"/>
      <c r="D20" s="215" t="s">
        <v>214</v>
      </c>
      <c r="E20" s="660">
        <v>2</v>
      </c>
      <c r="F20" s="661"/>
      <c r="G20" s="685"/>
      <c r="H20" s="686"/>
      <c r="I20" s="686"/>
    </row>
    <row r="21" spans="1:9" s="216" customFormat="1" ht="12.75">
      <c r="A21" s="213"/>
      <c r="B21" s="214" t="s">
        <v>211</v>
      </c>
      <c r="C21" s="157"/>
      <c r="D21" s="215" t="s">
        <v>214</v>
      </c>
      <c r="E21" s="660">
        <v>2</v>
      </c>
      <c r="F21" s="661"/>
      <c r="G21" s="685"/>
      <c r="H21" s="686"/>
      <c r="I21" s="686"/>
    </row>
    <row r="22" spans="1:9" s="216" customFormat="1" ht="12.75">
      <c r="A22" s="213"/>
      <c r="B22" s="214" t="s">
        <v>212</v>
      </c>
      <c r="C22" s="157"/>
      <c r="D22" s="215" t="s">
        <v>214</v>
      </c>
      <c r="E22" s="660">
        <v>2</v>
      </c>
      <c r="F22" s="661"/>
      <c r="G22" s="685"/>
      <c r="H22" s="686"/>
      <c r="I22" s="686"/>
    </row>
    <row r="23" spans="1:9" s="216" customFormat="1" ht="12.75">
      <c r="A23" s="213"/>
      <c r="B23" s="214" t="s">
        <v>212</v>
      </c>
      <c r="C23" s="157"/>
      <c r="D23" s="215" t="s">
        <v>1129</v>
      </c>
      <c r="E23" s="660">
        <v>99998</v>
      </c>
      <c r="F23" s="661"/>
      <c r="G23" s="685"/>
      <c r="H23" s="686"/>
      <c r="I23" s="686"/>
    </row>
    <row r="24" spans="1:9" s="216" customFormat="1" ht="12.75">
      <c r="A24" s="213"/>
      <c r="B24" s="214" t="s">
        <v>213</v>
      </c>
      <c r="C24" s="157"/>
      <c r="D24" s="215" t="s">
        <v>214</v>
      </c>
      <c r="E24" s="660">
        <v>2</v>
      </c>
      <c r="F24" s="660"/>
      <c r="G24" s="685"/>
      <c r="H24" s="686"/>
      <c r="I24" s="686"/>
    </row>
    <row r="25" spans="1:9" s="216" customFormat="1" ht="12.75">
      <c r="A25" s="213"/>
      <c r="B25" s="214" t="s">
        <v>217</v>
      </c>
      <c r="C25" s="157"/>
      <c r="D25" s="215" t="s">
        <v>215</v>
      </c>
      <c r="E25" s="660">
        <v>4000000</v>
      </c>
      <c r="F25" s="661"/>
      <c r="G25" s="685"/>
      <c r="H25" s="686"/>
      <c r="I25" s="686"/>
    </row>
    <row r="26" spans="1:9" s="216" customFormat="1" ht="12.75">
      <c r="A26" s="213"/>
      <c r="B26" s="214" t="s">
        <v>221</v>
      </c>
      <c r="C26" s="157"/>
      <c r="D26" s="217" t="s">
        <v>220</v>
      </c>
      <c r="E26" s="660">
        <v>27111492</v>
      </c>
      <c r="F26" s="661"/>
      <c r="G26" s="685"/>
      <c r="H26" s="686"/>
      <c r="I26" s="686"/>
    </row>
    <row r="27" spans="1:9" s="216" customFormat="1" ht="12.75">
      <c r="A27" s="218"/>
      <c r="B27" s="195" t="s">
        <v>226</v>
      </c>
      <c r="C27" s="219"/>
      <c r="D27" s="217" t="s">
        <v>222</v>
      </c>
      <c r="E27" s="661">
        <v>250000</v>
      </c>
      <c r="F27" s="661"/>
      <c r="G27" s="685"/>
      <c r="H27" s="686"/>
      <c r="I27" s="686"/>
    </row>
    <row r="28" spans="1:9" s="216" customFormat="1" ht="12.75">
      <c r="A28" s="220"/>
      <c r="B28" s="195" t="s">
        <v>234</v>
      </c>
      <c r="C28" s="158"/>
      <c r="D28" s="217" t="s">
        <v>233</v>
      </c>
      <c r="E28" s="661">
        <v>440000</v>
      </c>
      <c r="F28" s="661"/>
      <c r="G28" s="685"/>
      <c r="H28" s="686"/>
      <c r="I28" s="686"/>
    </row>
    <row r="29" spans="1:7" ht="12.75">
      <c r="A29" s="74"/>
      <c r="B29" s="75" t="s">
        <v>250</v>
      </c>
      <c r="C29" s="63"/>
      <c r="D29" s="66" t="s">
        <v>241</v>
      </c>
      <c r="E29" s="658">
        <v>2</v>
      </c>
      <c r="F29" s="658"/>
      <c r="G29" s="684"/>
    </row>
    <row r="30" spans="1:7" ht="12.75">
      <c r="A30" s="74"/>
      <c r="B30" s="75" t="s">
        <v>248</v>
      </c>
      <c r="C30" s="63"/>
      <c r="D30" s="66" t="s">
        <v>241</v>
      </c>
      <c r="E30" s="658">
        <v>2</v>
      </c>
      <c r="F30" s="658"/>
      <c r="G30" s="684"/>
    </row>
    <row r="31" spans="1:7" ht="12.75">
      <c r="A31" s="74"/>
      <c r="B31" s="75" t="s">
        <v>249</v>
      </c>
      <c r="C31" s="63"/>
      <c r="D31" s="66" t="s">
        <v>241</v>
      </c>
      <c r="E31" s="658">
        <v>2</v>
      </c>
      <c r="F31" s="658"/>
      <c r="G31" s="684"/>
    </row>
    <row r="32" spans="1:7" ht="12.75">
      <c r="A32" s="74"/>
      <c r="B32" s="75" t="s">
        <v>242</v>
      </c>
      <c r="C32" s="63"/>
      <c r="D32" s="66" t="s">
        <v>241</v>
      </c>
      <c r="E32" s="658">
        <v>3200002</v>
      </c>
      <c r="F32" s="658"/>
      <c r="G32" s="684"/>
    </row>
    <row r="33" spans="1:7" ht="12.75">
      <c r="A33" s="71"/>
      <c r="B33" s="75" t="s">
        <v>244</v>
      </c>
      <c r="C33" s="73"/>
      <c r="D33" s="66" t="s">
        <v>241</v>
      </c>
      <c r="E33" s="658">
        <v>2.5</v>
      </c>
      <c r="F33" s="658"/>
      <c r="G33" s="684"/>
    </row>
    <row r="34" spans="1:7" ht="12.75">
      <c r="A34" s="71"/>
      <c r="B34" s="75" t="s">
        <v>243</v>
      </c>
      <c r="C34" s="73"/>
      <c r="D34" s="66" t="s">
        <v>241</v>
      </c>
      <c r="E34" s="658">
        <v>2.5</v>
      </c>
      <c r="F34" s="658"/>
      <c r="G34" s="684"/>
    </row>
    <row r="35" spans="1:7" ht="12.75">
      <c r="A35" s="71"/>
      <c r="B35" s="75" t="s">
        <v>245</v>
      </c>
      <c r="C35" s="73"/>
      <c r="D35" s="66" t="s">
        <v>241</v>
      </c>
      <c r="E35" s="658">
        <v>2</v>
      </c>
      <c r="F35" s="658"/>
      <c r="G35" s="684"/>
    </row>
    <row r="36" spans="1:7" ht="12.75">
      <c r="A36" s="71"/>
      <c r="B36" s="75" t="s">
        <v>246</v>
      </c>
      <c r="C36" s="73"/>
      <c r="D36" s="66" t="s">
        <v>241</v>
      </c>
      <c r="E36" s="658">
        <v>2</v>
      </c>
      <c r="F36" s="658"/>
      <c r="G36" s="684"/>
    </row>
    <row r="37" spans="1:7" ht="12.75">
      <c r="A37" s="71"/>
      <c r="B37" s="75" t="s">
        <v>539</v>
      </c>
      <c r="C37" s="73"/>
      <c r="D37" s="66" t="s">
        <v>251</v>
      </c>
      <c r="E37" s="658">
        <v>30000000</v>
      </c>
      <c r="F37" s="658"/>
      <c r="G37" s="684"/>
    </row>
    <row r="38" spans="1:7" ht="12.75">
      <c r="A38" s="71"/>
      <c r="B38" s="75" t="s">
        <v>252</v>
      </c>
      <c r="C38" s="73"/>
      <c r="D38" s="66" t="s">
        <v>253</v>
      </c>
      <c r="E38" s="658">
        <v>300000</v>
      </c>
      <c r="F38" s="658"/>
      <c r="G38" s="684"/>
    </row>
    <row r="39" spans="1:7" ht="12.75">
      <c r="A39" s="71"/>
      <c r="B39" s="75" t="s">
        <v>710</v>
      </c>
      <c r="C39" s="73"/>
      <c r="D39" s="66" t="s">
        <v>343</v>
      </c>
      <c r="E39" s="658">
        <v>200000</v>
      </c>
      <c r="F39" s="658"/>
      <c r="G39" s="684"/>
    </row>
    <row r="40" spans="1:7" ht="12.75">
      <c r="A40" s="71"/>
      <c r="B40" s="75" t="s">
        <v>255</v>
      </c>
      <c r="C40" s="73"/>
      <c r="D40" s="66" t="s">
        <v>256</v>
      </c>
      <c r="E40" s="658">
        <v>2000000</v>
      </c>
      <c r="F40" s="658"/>
      <c r="G40" s="684"/>
    </row>
    <row r="41" spans="1:7" ht="12.75">
      <c r="A41" s="71"/>
      <c r="B41" s="75" t="s">
        <v>257</v>
      </c>
      <c r="C41" s="73"/>
      <c r="D41" s="66" t="s">
        <v>258</v>
      </c>
      <c r="E41" s="658">
        <v>200000</v>
      </c>
      <c r="F41" s="658"/>
      <c r="G41" s="684"/>
    </row>
    <row r="42" spans="1:7" ht="12.75">
      <c r="A42" s="71"/>
      <c r="B42" s="75" t="s">
        <v>262</v>
      </c>
      <c r="C42" s="73"/>
      <c r="D42" s="66" t="s">
        <v>263</v>
      </c>
      <c r="E42" s="658">
        <v>250000</v>
      </c>
      <c r="F42" s="658"/>
      <c r="G42" s="684"/>
    </row>
    <row r="43" spans="1:7" ht="12.75">
      <c r="A43" s="71"/>
      <c r="B43" s="75" t="s">
        <v>273</v>
      </c>
      <c r="C43" s="73"/>
      <c r="D43" s="66" t="s">
        <v>274</v>
      </c>
      <c r="E43" s="658">
        <v>100000</v>
      </c>
      <c r="F43" s="658"/>
      <c r="G43" s="684"/>
    </row>
    <row r="44" spans="1:7" ht="12.75">
      <c r="A44" s="71"/>
      <c r="B44" s="75" t="s">
        <v>1384</v>
      </c>
      <c r="C44" s="73"/>
      <c r="D44" s="66"/>
      <c r="E44" s="658"/>
      <c r="F44" s="658"/>
      <c r="G44" s="684"/>
    </row>
    <row r="45" spans="1:7" ht="12.75">
      <c r="A45" s="71"/>
      <c r="B45" s="75" t="s">
        <v>1384</v>
      </c>
      <c r="C45" s="73"/>
      <c r="D45" s="66"/>
      <c r="E45" s="658"/>
      <c r="F45" s="658"/>
      <c r="G45" s="684"/>
    </row>
    <row r="46" spans="1:7" ht="12.75">
      <c r="A46" s="71"/>
      <c r="B46" s="75" t="s">
        <v>309</v>
      </c>
      <c r="C46" s="73"/>
      <c r="D46" s="66" t="s">
        <v>308</v>
      </c>
      <c r="E46" s="658">
        <v>500000</v>
      </c>
      <c r="F46" s="658"/>
      <c r="G46" s="684"/>
    </row>
    <row r="47" spans="1:7" ht="12.75">
      <c r="A47" s="71"/>
      <c r="B47" s="75" t="s">
        <v>312</v>
      </c>
      <c r="C47" s="73"/>
      <c r="D47" s="66" t="s">
        <v>311</v>
      </c>
      <c r="E47" s="658">
        <v>10000</v>
      </c>
      <c r="F47" s="658"/>
      <c r="G47" s="684"/>
    </row>
    <row r="48" spans="1:9" s="216" customFormat="1" ht="12.75">
      <c r="A48" s="218"/>
      <c r="B48" s="195" t="s">
        <v>547</v>
      </c>
      <c r="C48" s="219"/>
      <c r="D48" s="217" t="s">
        <v>1130</v>
      </c>
      <c r="E48" s="661">
        <v>2</v>
      </c>
      <c r="F48" s="661"/>
      <c r="G48" s="685"/>
      <c r="H48" s="686"/>
      <c r="I48" s="686"/>
    </row>
    <row r="49" spans="1:9" s="216" customFormat="1" ht="12.75">
      <c r="A49" s="218"/>
      <c r="B49" s="195" t="s">
        <v>548</v>
      </c>
      <c r="C49" s="219"/>
      <c r="D49" s="217" t="s">
        <v>1130</v>
      </c>
      <c r="E49" s="661">
        <v>2</v>
      </c>
      <c r="F49" s="661"/>
      <c r="G49" s="685"/>
      <c r="H49" s="686"/>
      <c r="I49" s="686"/>
    </row>
    <row r="50" spans="1:9" s="216" customFormat="1" ht="12.75">
      <c r="A50" s="218"/>
      <c r="B50" s="195" t="s">
        <v>549</v>
      </c>
      <c r="C50" s="219"/>
      <c r="D50" s="217" t="s">
        <v>1130</v>
      </c>
      <c r="E50" s="661">
        <v>2</v>
      </c>
      <c r="F50" s="661"/>
      <c r="G50" s="685"/>
      <c r="H50" s="686"/>
      <c r="I50" s="686"/>
    </row>
    <row r="51" spans="1:9" s="216" customFormat="1" ht="12.75">
      <c r="A51" s="218"/>
      <c r="B51" s="195"/>
      <c r="C51" s="219"/>
      <c r="D51" s="217"/>
      <c r="E51" s="661"/>
      <c r="F51" s="661"/>
      <c r="G51" s="685"/>
      <c r="H51" s="686"/>
      <c r="I51" s="686"/>
    </row>
    <row r="52" spans="1:7" ht="12.75">
      <c r="A52" s="74"/>
      <c r="B52" s="75"/>
      <c r="C52" s="63"/>
      <c r="D52" s="66"/>
      <c r="E52" s="657"/>
      <c r="F52" s="657"/>
      <c r="G52" s="684"/>
    </row>
    <row r="53" spans="1:7" ht="12.75">
      <c r="A53" s="76" t="s">
        <v>26</v>
      </c>
      <c r="B53" s="77"/>
      <c r="C53" s="78"/>
      <c r="D53" s="79"/>
      <c r="E53" s="662">
        <f>SUM(E7:E52)</f>
        <v>81661533</v>
      </c>
      <c r="F53" s="662">
        <f>SUM(F7:F52)</f>
        <v>0</v>
      </c>
      <c r="G53" s="684"/>
    </row>
    <row r="54" spans="1:7" ht="12.75">
      <c r="A54" s="74"/>
      <c r="B54" s="75"/>
      <c r="C54" s="63"/>
      <c r="D54" s="66"/>
      <c r="E54" s="659"/>
      <c r="F54" s="659"/>
      <c r="G54" s="684"/>
    </row>
    <row r="55" spans="1:7" ht="12.75">
      <c r="A55" s="74"/>
      <c r="B55" s="75"/>
      <c r="C55" s="63"/>
      <c r="D55" s="66"/>
      <c r="E55" s="659"/>
      <c r="F55" s="659"/>
      <c r="G55" s="684"/>
    </row>
    <row r="56" spans="1:7" ht="12.75">
      <c r="A56" s="56" t="s">
        <v>29</v>
      </c>
      <c r="B56" s="61"/>
      <c r="C56" s="62"/>
      <c r="D56" s="66"/>
      <c r="E56" s="658"/>
      <c r="F56" s="658"/>
      <c r="G56" s="684"/>
    </row>
    <row r="57" spans="1:7" ht="12.75">
      <c r="A57" s="56"/>
      <c r="B57" s="61"/>
      <c r="C57" s="62"/>
      <c r="D57" s="64"/>
      <c r="E57" s="659"/>
      <c r="F57" s="658"/>
      <c r="G57" s="684"/>
    </row>
    <row r="58" spans="1:7" ht="12.75">
      <c r="A58" s="56"/>
      <c r="B58" s="61" t="s">
        <v>30</v>
      </c>
      <c r="C58" s="62"/>
      <c r="D58" s="66"/>
      <c r="E58" s="658"/>
      <c r="F58" s="658"/>
      <c r="G58" s="684"/>
    </row>
    <row r="59" spans="1:7" ht="12.75">
      <c r="A59" s="56"/>
      <c r="B59" s="61"/>
      <c r="C59" s="62" t="s">
        <v>293</v>
      </c>
      <c r="D59" s="66"/>
      <c r="E59" s="658"/>
      <c r="F59" s="658"/>
      <c r="G59" s="684"/>
    </row>
    <row r="60" spans="1:7" ht="12.75">
      <c r="A60" s="56"/>
      <c r="B60" s="61"/>
      <c r="C60" s="62" t="s">
        <v>31</v>
      </c>
      <c r="D60" s="65"/>
      <c r="E60" s="659"/>
      <c r="F60" s="659"/>
      <c r="G60" s="684"/>
    </row>
    <row r="61" spans="1:7" ht="12.75">
      <c r="A61" s="56"/>
      <c r="B61" s="61"/>
      <c r="C61" s="62" t="s">
        <v>32</v>
      </c>
      <c r="D61" s="64"/>
      <c r="E61" s="659"/>
      <c r="F61" s="658"/>
      <c r="G61" s="684"/>
    </row>
    <row r="62" spans="1:9" ht="12.75">
      <c r="A62" s="56"/>
      <c r="B62" s="61"/>
      <c r="C62" s="62" t="s">
        <v>765</v>
      </c>
      <c r="D62" s="64"/>
      <c r="E62" s="659"/>
      <c r="F62" s="663"/>
      <c r="G62" s="684">
        <f>SUM(E59:E62)</f>
        <v>0</v>
      </c>
      <c r="H62" s="684">
        <f>SUM(F59:F62)</f>
        <v>0</v>
      </c>
      <c r="I62" s="682">
        <f>+G62-H62</f>
        <v>0</v>
      </c>
    </row>
    <row r="63" spans="1:7" ht="12.75">
      <c r="A63" s="56"/>
      <c r="B63" s="61" t="s">
        <v>318</v>
      </c>
      <c r="C63" s="62"/>
      <c r="D63" s="66"/>
      <c r="E63" s="658"/>
      <c r="F63" s="658"/>
      <c r="G63" s="684"/>
    </row>
    <row r="64" spans="1:7" ht="12.75">
      <c r="A64" s="161"/>
      <c r="B64" s="162"/>
      <c r="C64" s="154" t="s">
        <v>1217</v>
      </c>
      <c r="D64" s="160"/>
      <c r="E64" s="664"/>
      <c r="F64" s="664"/>
      <c r="G64" s="684"/>
    </row>
    <row r="65" spans="1:7" ht="12.75">
      <c r="A65" s="68"/>
      <c r="B65" s="69"/>
      <c r="C65" s="62" t="s">
        <v>296</v>
      </c>
      <c r="D65" s="64"/>
      <c r="E65" s="658"/>
      <c r="F65" s="658"/>
      <c r="G65" s="684"/>
    </row>
    <row r="66" spans="1:7" ht="12.75">
      <c r="A66" s="68"/>
      <c r="B66" s="69"/>
      <c r="C66" s="62"/>
      <c r="D66" s="64"/>
      <c r="E66" s="658"/>
      <c r="F66" s="658"/>
      <c r="G66" s="684"/>
    </row>
    <row r="67" spans="1:7" ht="12.75">
      <c r="A67" s="74"/>
      <c r="B67" s="75"/>
      <c r="C67" s="63"/>
      <c r="D67" s="66"/>
      <c r="E67" s="657"/>
      <c r="F67" s="657"/>
      <c r="G67" s="684"/>
    </row>
    <row r="68" spans="1:7" ht="12.75">
      <c r="A68" s="76" t="s">
        <v>33</v>
      </c>
      <c r="B68" s="77"/>
      <c r="C68" s="78"/>
      <c r="D68" s="79"/>
      <c r="E68" s="665">
        <f>SUM(E56:E67)</f>
        <v>0</v>
      </c>
      <c r="F68" s="665">
        <f>SUM(F56:F67)</f>
        <v>0</v>
      </c>
      <c r="G68" s="684"/>
    </row>
    <row r="69" spans="1:7" ht="12.75">
      <c r="A69" s="74"/>
      <c r="B69" s="75"/>
      <c r="C69" s="63"/>
      <c r="D69" s="66"/>
      <c r="E69" s="657"/>
      <c r="F69" s="657"/>
      <c r="G69" s="684"/>
    </row>
    <row r="70" spans="1:7" ht="12.75">
      <c r="A70" s="74"/>
      <c r="B70" s="75"/>
      <c r="C70" s="63"/>
      <c r="D70" s="66"/>
      <c r="E70" s="657"/>
      <c r="F70" s="657"/>
      <c r="G70" s="684"/>
    </row>
    <row r="71" spans="1:7" ht="12.75">
      <c r="A71" s="74"/>
      <c r="B71" s="75"/>
      <c r="C71" s="63"/>
      <c r="D71" s="66"/>
      <c r="E71" s="657"/>
      <c r="F71" s="657"/>
      <c r="G71" s="684"/>
    </row>
    <row r="72" spans="1:7" ht="12.75">
      <c r="A72" s="357"/>
      <c r="B72" s="358"/>
      <c r="C72" s="359"/>
      <c r="D72" s="360"/>
      <c r="E72" s="666"/>
      <c r="F72" s="666"/>
      <c r="G72" s="684"/>
    </row>
    <row r="73" spans="1:7" ht="12.75">
      <c r="A73" s="56" t="s">
        <v>34</v>
      </c>
      <c r="B73" s="61"/>
      <c r="C73" s="62"/>
      <c r="D73" s="66"/>
      <c r="E73" s="658"/>
      <c r="F73" s="658"/>
      <c r="G73" s="684"/>
    </row>
    <row r="74" spans="1:7" ht="12.75">
      <c r="A74" s="56"/>
      <c r="B74" s="61" t="s">
        <v>224</v>
      </c>
      <c r="C74" s="62"/>
      <c r="D74" s="64" t="s">
        <v>215</v>
      </c>
      <c r="E74" s="659"/>
      <c r="F74" s="658">
        <v>200000</v>
      </c>
      <c r="G74" s="684"/>
    </row>
    <row r="75" spans="1:7" ht="12.75">
      <c r="A75" s="56"/>
      <c r="B75" s="61" t="s">
        <v>289</v>
      </c>
      <c r="C75" s="62"/>
      <c r="D75" s="66" t="s">
        <v>239</v>
      </c>
      <c r="E75" s="659">
        <v>1251379</v>
      </c>
      <c r="F75" s="658"/>
      <c r="G75" s="684"/>
    </row>
    <row r="76" spans="1:7" ht="12.75">
      <c r="A76" s="56"/>
      <c r="B76" s="575" t="s">
        <v>1066</v>
      </c>
      <c r="C76" s="62"/>
      <c r="D76" s="66" t="s">
        <v>1005</v>
      </c>
      <c r="E76" s="659"/>
      <c r="F76" s="659">
        <v>1251379</v>
      </c>
      <c r="G76" s="684"/>
    </row>
    <row r="77" spans="1:7" ht="12.75">
      <c r="A77" s="56"/>
      <c r="B77" s="61" t="s">
        <v>223</v>
      </c>
      <c r="C77" s="62"/>
      <c r="D77" s="66" t="s">
        <v>220</v>
      </c>
      <c r="E77" s="659"/>
      <c r="F77" s="658">
        <v>24511492</v>
      </c>
      <c r="G77" s="684"/>
    </row>
    <row r="78" spans="1:7" ht="12.75">
      <c r="A78" s="56"/>
      <c r="B78" s="75" t="s">
        <v>236</v>
      </c>
      <c r="C78" s="62"/>
      <c r="D78" s="64" t="s">
        <v>233</v>
      </c>
      <c r="E78" s="658">
        <v>12527000</v>
      </c>
      <c r="F78" s="659"/>
      <c r="G78" s="684"/>
    </row>
    <row r="79" spans="1:7" ht="12.75">
      <c r="A79" s="56"/>
      <c r="B79" s="75" t="s">
        <v>119</v>
      </c>
      <c r="C79" s="62"/>
      <c r="D79" s="64" t="s">
        <v>118</v>
      </c>
      <c r="E79" s="658"/>
      <c r="F79" s="659">
        <v>12523001</v>
      </c>
      <c r="G79" s="684"/>
    </row>
    <row r="80" spans="1:7" ht="12.75">
      <c r="A80" s="56"/>
      <c r="B80" s="75" t="s">
        <v>539</v>
      </c>
      <c r="C80" s="62"/>
      <c r="D80" s="66" t="s">
        <v>251</v>
      </c>
      <c r="E80" s="658">
        <v>31281724</v>
      </c>
      <c r="F80" s="659"/>
      <c r="G80" s="684"/>
    </row>
    <row r="81" spans="1:7" ht="12.75">
      <c r="A81" s="74"/>
      <c r="B81" s="576" t="s">
        <v>1067</v>
      </c>
      <c r="C81" s="63"/>
      <c r="D81" s="66" t="s">
        <v>1068</v>
      </c>
      <c r="E81" s="658"/>
      <c r="F81" s="577">
        <v>20642348</v>
      </c>
      <c r="G81" s="684"/>
    </row>
    <row r="82" spans="1:9" s="216" customFormat="1" ht="12.75">
      <c r="A82" s="220"/>
      <c r="B82" s="195"/>
      <c r="C82" s="158"/>
      <c r="D82" s="217"/>
      <c r="E82" s="661"/>
      <c r="F82" s="661"/>
      <c r="G82" s="685"/>
      <c r="H82" s="686"/>
      <c r="I82" s="686"/>
    </row>
    <row r="83" spans="1:7" ht="12.75">
      <c r="A83" s="159"/>
      <c r="B83" s="165"/>
      <c r="C83" s="155"/>
      <c r="D83" s="160"/>
      <c r="E83" s="664"/>
      <c r="F83" s="664"/>
      <c r="G83" s="684"/>
    </row>
    <row r="84" spans="1:7" ht="12.75">
      <c r="A84" s="74"/>
      <c r="B84" s="75" t="s">
        <v>290</v>
      </c>
      <c r="C84" s="63"/>
      <c r="D84" s="66"/>
      <c r="E84" s="661"/>
      <c r="F84" s="658"/>
      <c r="G84" s="684"/>
    </row>
    <row r="85" spans="1:7" ht="12.75">
      <c r="A85" s="74"/>
      <c r="B85" s="75" t="s">
        <v>291</v>
      </c>
      <c r="C85" s="63"/>
      <c r="D85" s="66"/>
      <c r="E85" s="661"/>
      <c r="F85" s="658"/>
      <c r="G85" s="684">
        <f>SUM(E84:E85)</f>
        <v>0</v>
      </c>
    </row>
    <row r="86" spans="1:7" ht="12.75">
      <c r="A86" s="74"/>
      <c r="B86" s="75" t="s">
        <v>766</v>
      </c>
      <c r="C86" s="63"/>
      <c r="D86" s="66"/>
      <c r="E86" s="661"/>
      <c r="F86" s="658"/>
      <c r="G86" s="684"/>
    </row>
    <row r="87" spans="1:7" ht="12.75">
      <c r="A87" s="74"/>
      <c r="B87" s="75"/>
      <c r="C87" s="63"/>
      <c r="D87" s="66"/>
      <c r="E87" s="658"/>
      <c r="F87" s="658"/>
      <c r="G87" s="684"/>
    </row>
    <row r="88" spans="1:7" ht="12.75">
      <c r="A88" s="74"/>
      <c r="B88" s="75"/>
      <c r="C88" s="63"/>
      <c r="D88" s="66"/>
      <c r="E88" s="659"/>
      <c r="F88" s="657"/>
      <c r="G88" s="684"/>
    </row>
    <row r="89" spans="1:7" ht="12.75">
      <c r="A89" s="76" t="s">
        <v>35</v>
      </c>
      <c r="B89" s="77"/>
      <c r="C89" s="78"/>
      <c r="D89" s="79"/>
      <c r="E89" s="665">
        <f>SUM(E73:E88)</f>
        <v>45060103</v>
      </c>
      <c r="F89" s="665">
        <f>SUM(F73:F88)</f>
        <v>59128220</v>
      </c>
      <c r="G89" s="684"/>
    </row>
    <row r="90" spans="1:7" ht="12.75">
      <c r="A90" s="74"/>
      <c r="B90" s="75"/>
      <c r="C90" s="63"/>
      <c r="D90" s="66"/>
      <c r="E90" s="659"/>
      <c r="F90" s="659"/>
      <c r="G90" s="684"/>
    </row>
    <row r="91" spans="1:7" ht="12.75">
      <c r="A91" s="74"/>
      <c r="B91" s="75"/>
      <c r="C91" s="63"/>
      <c r="D91" s="66"/>
      <c r="E91" s="657"/>
      <c r="F91" s="657"/>
      <c r="G91" s="684"/>
    </row>
    <row r="92" spans="1:7" ht="12.75">
      <c r="A92" s="580" t="s">
        <v>36</v>
      </c>
      <c r="B92" s="61"/>
      <c r="C92" s="62"/>
      <c r="D92" s="66"/>
      <c r="E92" s="658"/>
      <c r="F92" s="658"/>
      <c r="G92" s="684"/>
    </row>
    <row r="93" spans="1:7" ht="12.75">
      <c r="A93" s="56"/>
      <c r="B93" s="75" t="s">
        <v>235</v>
      </c>
      <c r="C93" s="62"/>
      <c r="D93" s="64" t="s">
        <v>233</v>
      </c>
      <c r="E93" s="658"/>
      <c r="F93" s="659">
        <v>900126</v>
      </c>
      <c r="G93" s="684"/>
    </row>
    <row r="94" spans="1:7" ht="12.75">
      <c r="A94" s="74"/>
      <c r="B94" s="75" t="s">
        <v>539</v>
      </c>
      <c r="C94" s="63"/>
      <c r="D94" s="66" t="s">
        <v>251</v>
      </c>
      <c r="E94" s="658"/>
      <c r="F94" s="661">
        <v>1504551</v>
      </c>
      <c r="G94" s="684"/>
    </row>
    <row r="95" spans="1:9" s="216" customFormat="1" ht="12.75">
      <c r="A95" s="220"/>
      <c r="B95" s="195" t="s">
        <v>539</v>
      </c>
      <c r="C95" s="158"/>
      <c r="D95" s="217" t="s">
        <v>1133</v>
      </c>
      <c r="E95" s="661">
        <v>1504551</v>
      </c>
      <c r="F95" s="661"/>
      <c r="G95" s="685"/>
      <c r="H95" s="686"/>
      <c r="I95" s="686"/>
    </row>
    <row r="96" spans="1:7" ht="12.75">
      <c r="A96" s="74"/>
      <c r="B96" s="75" t="s">
        <v>255</v>
      </c>
      <c r="C96" s="63"/>
      <c r="D96" s="66" t="s">
        <v>256</v>
      </c>
      <c r="E96" s="658"/>
      <c r="F96" s="658">
        <v>180548</v>
      </c>
      <c r="G96" s="684"/>
    </row>
    <row r="97" spans="1:7" ht="12.75">
      <c r="A97" s="74"/>
      <c r="B97" s="75" t="s">
        <v>267</v>
      </c>
      <c r="C97" s="63"/>
      <c r="D97" s="66" t="s">
        <v>263</v>
      </c>
      <c r="E97" s="658"/>
      <c r="F97" s="658">
        <v>14856</v>
      </c>
      <c r="G97" s="684"/>
    </row>
    <row r="98" spans="1:7" ht="12.75">
      <c r="A98" s="68"/>
      <c r="B98" s="69"/>
      <c r="C98" s="70"/>
      <c r="D98" s="66"/>
      <c r="E98" s="659"/>
      <c r="F98" s="658"/>
      <c r="G98" s="684"/>
    </row>
    <row r="99" spans="1:7" ht="12.75">
      <c r="A99" s="68"/>
      <c r="B99" s="69"/>
      <c r="C99" s="70"/>
      <c r="D99" s="66"/>
      <c r="E99" s="659"/>
      <c r="F99" s="658"/>
      <c r="G99" s="687"/>
    </row>
    <row r="100" spans="1:7" ht="12.75">
      <c r="A100" s="74"/>
      <c r="B100" s="75"/>
      <c r="C100" s="63"/>
      <c r="D100" s="66"/>
      <c r="E100" s="657"/>
      <c r="F100" s="657"/>
      <c r="G100" s="684"/>
    </row>
    <row r="101" spans="1:7" ht="12.75">
      <c r="A101" s="76" t="s">
        <v>37</v>
      </c>
      <c r="B101" s="77"/>
      <c r="C101" s="78"/>
      <c r="D101" s="79"/>
      <c r="E101" s="665">
        <f>SUM(E92:E100)</f>
        <v>1504551</v>
      </c>
      <c r="F101" s="665">
        <f>SUM(F92:F100)</f>
        <v>2600081</v>
      </c>
      <c r="G101" s="684"/>
    </row>
    <row r="102" spans="1:7" ht="12.75">
      <c r="A102" s="74"/>
      <c r="B102" s="75"/>
      <c r="C102" s="63"/>
      <c r="D102" s="66"/>
      <c r="E102" s="659"/>
      <c r="F102" s="659"/>
      <c r="G102" s="684"/>
    </row>
    <row r="103" spans="1:7" ht="12.75">
      <c r="A103" s="74"/>
      <c r="B103" s="75"/>
      <c r="C103" s="63"/>
      <c r="D103" s="66"/>
      <c r="E103" s="657"/>
      <c r="F103" s="657"/>
      <c r="G103" s="684"/>
    </row>
    <row r="104" spans="1:7" ht="12.75">
      <c r="A104" s="56" t="s">
        <v>38</v>
      </c>
      <c r="B104" s="61"/>
      <c r="C104" s="62"/>
      <c r="D104" s="66"/>
      <c r="E104" s="658"/>
      <c r="F104" s="658"/>
      <c r="G104" s="684"/>
    </row>
    <row r="105" spans="1:7" ht="12.75">
      <c r="A105" s="56" t="s">
        <v>39</v>
      </c>
      <c r="B105" s="61"/>
      <c r="C105" s="62"/>
      <c r="D105" s="66"/>
      <c r="E105" s="667" t="s">
        <v>9</v>
      </c>
      <c r="F105" s="667" t="s">
        <v>9</v>
      </c>
      <c r="G105" s="684"/>
    </row>
    <row r="106" spans="1:7" ht="12.75">
      <c r="A106" s="74"/>
      <c r="B106" s="75"/>
      <c r="C106" s="63"/>
      <c r="D106" s="66"/>
      <c r="E106" s="658"/>
      <c r="F106" s="658"/>
      <c r="G106" s="684"/>
    </row>
    <row r="107" spans="1:7" ht="12.75">
      <c r="A107" s="74"/>
      <c r="B107" s="75"/>
      <c r="C107" s="63"/>
      <c r="D107" s="66"/>
      <c r="E107" s="657"/>
      <c r="F107" s="657"/>
      <c r="G107" s="684"/>
    </row>
    <row r="108" spans="1:7" ht="12.75">
      <c r="A108" s="76" t="s">
        <v>40</v>
      </c>
      <c r="B108" s="77"/>
      <c r="C108" s="78"/>
      <c r="D108" s="79"/>
      <c r="E108" s="665">
        <f>SUM(E104:E107)</f>
        <v>0</v>
      </c>
      <c r="F108" s="665">
        <f>SUM(F104:F107)</f>
        <v>0</v>
      </c>
      <c r="G108" s="684"/>
    </row>
    <row r="109" spans="1:7" ht="12.75">
      <c r="A109" s="74"/>
      <c r="B109" s="75"/>
      <c r="C109" s="63"/>
      <c r="D109" s="66"/>
      <c r="E109" s="659"/>
      <c r="F109" s="659"/>
      <c r="G109" s="684"/>
    </row>
    <row r="110" spans="1:7" ht="12.75">
      <c r="A110" s="56"/>
      <c r="B110" s="61"/>
      <c r="C110" s="62"/>
      <c r="D110" s="64"/>
      <c r="E110" s="658"/>
      <c r="F110" s="659"/>
      <c r="G110" s="684"/>
    </row>
    <row r="111" spans="1:7" ht="12.75">
      <c r="A111" s="56" t="s">
        <v>127</v>
      </c>
      <c r="B111" s="61"/>
      <c r="C111" s="62"/>
      <c r="D111" s="66"/>
      <c r="E111" s="658"/>
      <c r="F111" s="658"/>
      <c r="G111" s="684"/>
    </row>
    <row r="112" spans="1:7" ht="12.75">
      <c r="A112" s="56"/>
      <c r="B112" s="61" t="s">
        <v>198</v>
      </c>
      <c r="C112" s="62"/>
      <c r="D112" s="64" t="s">
        <v>200</v>
      </c>
      <c r="E112" s="659">
        <v>197912</v>
      </c>
      <c r="F112" s="658"/>
      <c r="G112" s="684"/>
    </row>
    <row r="113" spans="1:7" ht="12.75">
      <c r="A113" s="56"/>
      <c r="B113" s="61" t="s">
        <v>199</v>
      </c>
      <c r="C113" s="62"/>
      <c r="D113" s="64" t="s">
        <v>201</v>
      </c>
      <c r="E113" s="659">
        <v>470742</v>
      </c>
      <c r="F113" s="658"/>
      <c r="G113" s="684"/>
    </row>
    <row r="114" spans="1:9" ht="12.75">
      <c r="A114" s="56"/>
      <c r="B114" s="61" t="s">
        <v>190</v>
      </c>
      <c r="C114" s="62"/>
      <c r="D114" s="64" t="s">
        <v>191</v>
      </c>
      <c r="E114" s="658">
        <v>463374</v>
      </c>
      <c r="F114" s="659"/>
      <c r="G114" s="688" t="s">
        <v>563</v>
      </c>
      <c r="H114" s="689" t="s">
        <v>564</v>
      </c>
      <c r="I114" s="690" t="s">
        <v>565</v>
      </c>
    </row>
    <row r="115" spans="1:9" ht="12.75">
      <c r="A115" s="56"/>
      <c r="B115" s="75" t="s">
        <v>1199</v>
      </c>
      <c r="C115" s="62"/>
      <c r="D115" s="64" t="s">
        <v>1005</v>
      </c>
      <c r="E115" s="659">
        <v>0</v>
      </c>
      <c r="F115" s="659">
        <v>1132028</v>
      </c>
      <c r="G115" s="684">
        <v>1132028</v>
      </c>
      <c r="H115" s="684">
        <v>1132028</v>
      </c>
      <c r="I115" s="686">
        <v>0</v>
      </c>
    </row>
    <row r="116" spans="1:7" ht="12.75">
      <c r="A116" s="56"/>
      <c r="B116" s="75" t="s">
        <v>295</v>
      </c>
      <c r="C116" s="62"/>
      <c r="D116" s="64"/>
      <c r="E116" s="658"/>
      <c r="F116" s="659"/>
      <c r="G116" s="684"/>
    </row>
    <row r="117" spans="1:7" ht="12.75">
      <c r="A117" s="56"/>
      <c r="B117" s="195" t="s">
        <v>1380</v>
      </c>
      <c r="C117" s="157"/>
      <c r="D117" s="215" t="s">
        <v>1145</v>
      </c>
      <c r="E117" s="660">
        <v>17904875</v>
      </c>
      <c r="F117" s="660"/>
      <c r="G117" s="684"/>
    </row>
    <row r="118" spans="1:9" s="216" customFormat="1" ht="12.75">
      <c r="A118" s="213"/>
      <c r="B118" s="195" t="s">
        <v>639</v>
      </c>
      <c r="C118" s="157"/>
      <c r="D118" s="215"/>
      <c r="E118" s="661"/>
      <c r="F118" s="660"/>
      <c r="G118" s="685"/>
      <c r="H118" s="686"/>
      <c r="I118" s="686"/>
    </row>
    <row r="119" spans="1:9" s="216" customFormat="1" ht="12.75">
      <c r="A119" s="213"/>
      <c r="B119" s="582" t="s">
        <v>566</v>
      </c>
      <c r="C119" s="62"/>
      <c r="D119" s="64"/>
      <c r="E119" s="659"/>
      <c r="F119" s="659"/>
      <c r="G119" s="685"/>
      <c r="H119" s="686"/>
      <c r="I119" s="686"/>
    </row>
    <row r="120" spans="1:9" s="216" customFormat="1" ht="12.75">
      <c r="A120" s="213"/>
      <c r="B120" s="582" t="s">
        <v>567</v>
      </c>
      <c r="C120" s="62"/>
      <c r="D120" s="64" t="s">
        <v>568</v>
      </c>
      <c r="E120" s="659"/>
      <c r="F120" s="660">
        <v>17904875</v>
      </c>
      <c r="G120" s="688" t="s">
        <v>563</v>
      </c>
      <c r="H120" s="689" t="s">
        <v>564</v>
      </c>
      <c r="I120" s="690" t="s">
        <v>565</v>
      </c>
    </row>
    <row r="121" spans="1:9" ht="12.75">
      <c r="A121" s="56"/>
      <c r="B121" s="195" t="s">
        <v>767</v>
      </c>
      <c r="C121" s="157"/>
      <c r="D121" s="215"/>
      <c r="E121" s="661"/>
      <c r="F121" s="660"/>
      <c r="G121" s="684">
        <v>17904875</v>
      </c>
      <c r="H121" s="684">
        <v>17904875</v>
      </c>
      <c r="I121" s="686">
        <v>0</v>
      </c>
    </row>
    <row r="122" spans="1:7" ht="12.75">
      <c r="A122" s="56"/>
      <c r="B122" s="61" t="s">
        <v>218</v>
      </c>
      <c r="C122" s="62"/>
      <c r="D122" s="64" t="s">
        <v>216</v>
      </c>
      <c r="E122" s="658"/>
      <c r="F122" s="659">
        <v>836470</v>
      </c>
      <c r="G122" s="684"/>
    </row>
    <row r="123" spans="1:9" s="216" customFormat="1" ht="12.75">
      <c r="A123" s="213"/>
      <c r="B123" s="61" t="s">
        <v>219</v>
      </c>
      <c r="C123" s="62"/>
      <c r="D123" s="64" t="s">
        <v>238</v>
      </c>
      <c r="E123" s="658"/>
      <c r="F123" s="659">
        <v>914668</v>
      </c>
      <c r="G123" s="685"/>
      <c r="H123" s="686"/>
      <c r="I123" s="686"/>
    </row>
    <row r="124" spans="1:7" ht="12.75">
      <c r="A124" s="56"/>
      <c r="B124" s="214" t="s">
        <v>1379</v>
      </c>
      <c r="C124" s="157"/>
      <c r="D124" s="215" t="s">
        <v>1145</v>
      </c>
      <c r="E124" s="660">
        <v>3857981</v>
      </c>
      <c r="F124" s="660"/>
      <c r="G124" s="684"/>
    </row>
    <row r="125" spans="1:9" s="216" customFormat="1" ht="12.75">
      <c r="A125" s="213"/>
      <c r="B125" s="214" t="s">
        <v>1379</v>
      </c>
      <c r="C125" s="157"/>
      <c r="D125" s="215" t="s">
        <v>1145</v>
      </c>
      <c r="E125" s="660">
        <v>34394</v>
      </c>
      <c r="F125" s="660"/>
      <c r="G125" s="685"/>
      <c r="H125" s="686"/>
      <c r="I125" s="686"/>
    </row>
    <row r="126" spans="1:9" s="216" customFormat="1" ht="12.75">
      <c r="A126" s="213"/>
      <c r="B126" s="61" t="s">
        <v>268</v>
      </c>
      <c r="C126" s="62"/>
      <c r="D126" s="64" t="s">
        <v>215</v>
      </c>
      <c r="E126" s="659"/>
      <c r="F126" s="659">
        <v>2933544</v>
      </c>
      <c r="G126" s="685"/>
      <c r="H126" s="686"/>
      <c r="I126" s="686"/>
    </row>
    <row r="127" spans="1:9" s="216" customFormat="1" ht="12.75">
      <c r="A127" s="213"/>
      <c r="B127" s="61" t="s">
        <v>240</v>
      </c>
      <c r="C127" s="62"/>
      <c r="D127" s="64" t="s">
        <v>239</v>
      </c>
      <c r="E127" s="658"/>
      <c r="F127" s="659">
        <v>1251379</v>
      </c>
      <c r="G127" s="688" t="s">
        <v>563</v>
      </c>
      <c r="H127" s="689" t="s">
        <v>564</v>
      </c>
      <c r="I127" s="690" t="s">
        <v>565</v>
      </c>
    </row>
    <row r="128" spans="1:9" ht="12.75">
      <c r="A128" s="56"/>
      <c r="B128" s="75" t="s">
        <v>1200</v>
      </c>
      <c r="C128" s="62"/>
      <c r="D128" s="64" t="s">
        <v>1005</v>
      </c>
      <c r="E128" s="659">
        <v>2043686</v>
      </c>
      <c r="F128" s="659"/>
      <c r="G128" s="684">
        <v>5936061</v>
      </c>
      <c r="H128" s="684">
        <v>5936061</v>
      </c>
      <c r="I128" s="686">
        <v>0</v>
      </c>
    </row>
    <row r="129" spans="1:7" ht="12.75">
      <c r="A129" s="56"/>
      <c r="B129" s="75" t="s">
        <v>272</v>
      </c>
      <c r="C129" s="62"/>
      <c r="D129" s="64" t="s">
        <v>271</v>
      </c>
      <c r="E129" s="658"/>
      <c r="F129" s="659">
        <v>-171</v>
      </c>
      <c r="G129" s="684"/>
    </row>
    <row r="130" spans="1:7" ht="12.75">
      <c r="A130" s="56"/>
      <c r="B130" s="195" t="s">
        <v>1378</v>
      </c>
      <c r="C130" s="157"/>
      <c r="D130" s="215" t="s">
        <v>1147</v>
      </c>
      <c r="E130" s="661"/>
      <c r="F130" s="661">
        <v>2723</v>
      </c>
      <c r="G130" s="684"/>
    </row>
    <row r="131" spans="1:9" ht="12.75">
      <c r="A131" s="56"/>
      <c r="B131" s="75" t="s">
        <v>270</v>
      </c>
      <c r="C131" s="62"/>
      <c r="D131" s="64" t="s">
        <v>263</v>
      </c>
      <c r="E131" s="658"/>
      <c r="F131" s="659">
        <v>67451</v>
      </c>
      <c r="G131" s="688" t="s">
        <v>563</v>
      </c>
      <c r="H131" s="689" t="s">
        <v>564</v>
      </c>
      <c r="I131" s="690" t="s">
        <v>565</v>
      </c>
    </row>
    <row r="132" spans="1:9" ht="12.75">
      <c r="A132" s="56"/>
      <c r="B132" s="75" t="s">
        <v>1201</v>
      </c>
      <c r="C132" s="62"/>
      <c r="D132" s="64" t="s">
        <v>1005</v>
      </c>
      <c r="E132" s="659">
        <v>70003</v>
      </c>
      <c r="F132" s="659"/>
      <c r="G132" s="684">
        <v>70003</v>
      </c>
      <c r="H132" s="684">
        <v>70003</v>
      </c>
      <c r="I132" s="686">
        <v>0</v>
      </c>
    </row>
    <row r="133" spans="1:7" ht="12.75">
      <c r="A133" s="56"/>
      <c r="B133" s="61"/>
      <c r="C133" s="62"/>
      <c r="D133" s="64"/>
      <c r="E133" s="659"/>
      <c r="F133" s="659"/>
      <c r="G133" s="687"/>
    </row>
    <row r="134" spans="1:7" ht="12.75">
      <c r="A134" s="56"/>
      <c r="B134" s="61"/>
      <c r="C134" s="62"/>
      <c r="D134" s="66"/>
      <c r="E134" s="657"/>
      <c r="F134" s="659"/>
      <c r="G134" s="684"/>
    </row>
    <row r="135" spans="1:11" ht="12.75">
      <c r="A135" s="76" t="s">
        <v>41</v>
      </c>
      <c r="B135" s="77"/>
      <c r="C135" s="78"/>
      <c r="D135" s="79"/>
      <c r="E135" s="668">
        <f aca="true" t="shared" si="0" ref="E135:K135">SUM(E111:E134)</f>
        <v>25042967</v>
      </c>
      <c r="F135" s="668">
        <f t="shared" si="0"/>
        <v>25042967</v>
      </c>
      <c r="G135" s="691">
        <f t="shared" si="0"/>
        <v>25042967</v>
      </c>
      <c r="H135" s="691">
        <f t="shared" si="0"/>
        <v>25042967</v>
      </c>
      <c r="I135" s="692">
        <f t="shared" si="0"/>
        <v>0</v>
      </c>
      <c r="J135" s="53">
        <f t="shared" si="0"/>
        <v>0</v>
      </c>
      <c r="K135" s="53">
        <f t="shared" si="0"/>
        <v>0</v>
      </c>
    </row>
    <row r="136" spans="1:7" ht="12.75">
      <c r="A136" s="74"/>
      <c r="B136" s="75"/>
      <c r="C136" s="63"/>
      <c r="D136" s="66"/>
      <c r="E136" s="659"/>
      <c r="F136" s="659"/>
      <c r="G136" s="684"/>
    </row>
    <row r="137" spans="1:7" ht="12.75">
      <c r="A137" s="74"/>
      <c r="B137" s="75"/>
      <c r="C137" s="63"/>
      <c r="D137" s="66"/>
      <c r="E137" s="659"/>
      <c r="F137" s="659"/>
      <c r="G137" s="684"/>
    </row>
    <row r="138" spans="1:7" ht="12.75">
      <c r="A138" s="74" t="s">
        <v>42</v>
      </c>
      <c r="B138" s="75"/>
      <c r="C138" s="63"/>
      <c r="D138" s="66"/>
      <c r="E138" s="659"/>
      <c r="F138" s="659"/>
      <c r="G138" s="684"/>
    </row>
    <row r="139" spans="1:7" ht="12.75">
      <c r="A139" s="74"/>
      <c r="B139" s="75" t="s">
        <v>143</v>
      </c>
      <c r="C139" s="63"/>
      <c r="D139" s="66" t="s">
        <v>25</v>
      </c>
      <c r="E139" s="659"/>
      <c r="F139" s="659">
        <v>18469990</v>
      </c>
      <c r="G139" s="684"/>
    </row>
    <row r="140" spans="1:7" ht="12.75">
      <c r="A140" s="74"/>
      <c r="B140" s="61" t="s">
        <v>145</v>
      </c>
      <c r="C140" s="63"/>
      <c r="D140" s="66" t="s">
        <v>144</v>
      </c>
      <c r="E140" s="659">
        <v>3025103</v>
      </c>
      <c r="F140" s="659"/>
      <c r="G140" s="684"/>
    </row>
    <row r="141" spans="1:7" ht="12.75">
      <c r="A141" s="74"/>
      <c r="B141" s="86" t="s">
        <v>148</v>
      </c>
      <c r="C141" s="63"/>
      <c r="D141" s="66" t="s">
        <v>149</v>
      </c>
      <c r="E141" s="659">
        <v>210000</v>
      </c>
      <c r="F141" s="659"/>
      <c r="G141" s="684"/>
    </row>
    <row r="142" spans="1:7" ht="12.75">
      <c r="A142" s="74"/>
      <c r="B142" s="86" t="s">
        <v>152</v>
      </c>
      <c r="C142" s="63"/>
      <c r="D142" s="66" t="s">
        <v>151</v>
      </c>
      <c r="E142" s="659">
        <v>163929</v>
      </c>
      <c r="F142" s="659"/>
      <c r="G142" s="684"/>
    </row>
    <row r="143" spans="1:7" ht="12.75">
      <c r="A143" s="74"/>
      <c r="B143" s="86" t="s">
        <v>160</v>
      </c>
      <c r="C143" s="63"/>
      <c r="D143" s="66" t="s">
        <v>162</v>
      </c>
      <c r="E143" s="659">
        <v>935748</v>
      </c>
      <c r="F143" s="659"/>
      <c r="G143" s="684"/>
    </row>
    <row r="144" spans="1:7" ht="12.75">
      <c r="A144" s="74"/>
      <c r="B144" s="86" t="s">
        <v>164</v>
      </c>
      <c r="C144" s="63"/>
      <c r="D144" s="66" t="s">
        <v>166</v>
      </c>
      <c r="E144" s="659">
        <v>221439</v>
      </c>
      <c r="F144" s="659"/>
      <c r="G144" s="684"/>
    </row>
    <row r="145" spans="1:7" ht="12.75">
      <c r="A145" s="74"/>
      <c r="B145" s="86" t="s">
        <v>167</v>
      </c>
      <c r="C145" s="63"/>
      <c r="D145" s="66" t="s">
        <v>170</v>
      </c>
      <c r="E145" s="660">
        <v>182864</v>
      </c>
      <c r="F145" s="659"/>
      <c r="G145" s="684"/>
    </row>
    <row r="146" spans="1:7" ht="12.75">
      <c r="A146" s="74"/>
      <c r="B146" s="86" t="s">
        <v>172</v>
      </c>
      <c r="C146" s="63"/>
      <c r="D146" s="66" t="s">
        <v>174</v>
      </c>
      <c r="E146" s="659">
        <v>2892400</v>
      </c>
      <c r="F146" s="659"/>
      <c r="G146" s="684"/>
    </row>
    <row r="147" spans="1:9" s="216" customFormat="1" ht="12.75">
      <c r="A147" s="220"/>
      <c r="B147" s="193" t="s">
        <v>542</v>
      </c>
      <c r="C147" s="158"/>
      <c r="D147" s="217" t="s">
        <v>703</v>
      </c>
      <c r="E147" s="660"/>
      <c r="F147" s="660">
        <v>9161</v>
      </c>
      <c r="G147" s="685"/>
      <c r="H147" s="686"/>
      <c r="I147" s="686"/>
    </row>
    <row r="148" spans="1:9" s="216" customFormat="1" ht="12.75">
      <c r="A148" s="220"/>
      <c r="B148" s="193" t="s">
        <v>541</v>
      </c>
      <c r="C148" s="158"/>
      <c r="D148" s="217" t="s">
        <v>705</v>
      </c>
      <c r="E148" s="660">
        <v>722566</v>
      </c>
      <c r="F148" s="660"/>
      <c r="G148" s="685"/>
      <c r="H148" s="686"/>
      <c r="I148" s="686"/>
    </row>
    <row r="149" spans="1:9" s="216" customFormat="1" ht="12.75">
      <c r="A149" s="220"/>
      <c r="B149" s="193" t="s">
        <v>950</v>
      </c>
      <c r="C149" s="158"/>
      <c r="D149" s="217" t="s">
        <v>943</v>
      </c>
      <c r="E149" s="660">
        <v>1688089</v>
      </c>
      <c r="F149" s="660"/>
      <c r="G149" s="709"/>
      <c r="H149" s="686"/>
      <c r="I149" s="686"/>
    </row>
    <row r="150" spans="1:7" ht="12.75">
      <c r="A150" s="74"/>
      <c r="B150" s="86"/>
      <c r="C150" s="63"/>
      <c r="D150" s="66"/>
      <c r="E150" s="659"/>
      <c r="F150" s="659"/>
      <c r="G150" s="684"/>
    </row>
    <row r="151" spans="1:7" ht="12.75">
      <c r="A151" s="74"/>
      <c r="B151" s="75"/>
      <c r="C151" s="63"/>
      <c r="D151" s="66"/>
      <c r="E151" s="659"/>
      <c r="F151" s="659"/>
      <c r="G151" s="684"/>
    </row>
    <row r="152" spans="1:7" ht="12.75">
      <c r="A152" s="76" t="s">
        <v>43</v>
      </c>
      <c r="B152" s="77"/>
      <c r="C152" s="78"/>
      <c r="D152" s="79"/>
      <c r="E152" s="665">
        <f>SUM(E138:E151)</f>
        <v>10042138</v>
      </c>
      <c r="F152" s="665">
        <f>SUM(F138:F151)</f>
        <v>18479151</v>
      </c>
      <c r="G152" s="684"/>
    </row>
    <row r="153" spans="1:7" ht="12.75">
      <c r="A153" s="74"/>
      <c r="B153" s="75"/>
      <c r="C153" s="63"/>
      <c r="D153" s="66"/>
      <c r="E153" s="659"/>
      <c r="F153" s="659"/>
      <c r="G153" s="684"/>
    </row>
    <row r="154" spans="1:7" ht="12.75">
      <c r="A154" s="74"/>
      <c r="B154" s="75"/>
      <c r="C154" s="63"/>
      <c r="D154" s="66"/>
      <c r="E154" s="657"/>
      <c r="F154" s="657"/>
      <c r="G154" s="684"/>
    </row>
    <row r="155" spans="1:7" ht="12.75">
      <c r="A155" s="56" t="s">
        <v>44</v>
      </c>
      <c r="B155" s="61"/>
      <c r="C155" s="62"/>
      <c r="D155" s="66"/>
      <c r="E155" s="658"/>
      <c r="F155" s="658"/>
      <c r="G155" s="684"/>
    </row>
    <row r="156" spans="1:7" ht="12.75">
      <c r="A156" s="56"/>
      <c r="B156" s="61"/>
      <c r="C156" s="62"/>
      <c r="D156" s="64"/>
      <c r="E156" s="658"/>
      <c r="F156" s="659"/>
      <c r="G156" s="684"/>
    </row>
    <row r="157" spans="1:7" ht="12.75">
      <c r="A157" s="56"/>
      <c r="B157" s="61" t="s">
        <v>45</v>
      </c>
      <c r="C157" s="62"/>
      <c r="D157" s="64"/>
      <c r="E157" s="658"/>
      <c r="F157" s="659"/>
      <c r="G157" s="684"/>
    </row>
    <row r="158" spans="1:7" ht="12.75">
      <c r="A158" s="56"/>
      <c r="B158" s="61"/>
      <c r="C158" s="62" t="s">
        <v>46</v>
      </c>
      <c r="D158" s="66"/>
      <c r="E158" s="658"/>
      <c r="F158" s="658"/>
      <c r="G158" s="684"/>
    </row>
    <row r="159" spans="1:7" ht="12.75">
      <c r="A159" s="56"/>
      <c r="B159" s="61" t="s">
        <v>47</v>
      </c>
      <c r="C159" s="62"/>
      <c r="D159" s="64"/>
      <c r="E159" s="658"/>
      <c r="F159" s="659"/>
      <c r="G159" s="684"/>
    </row>
    <row r="160" spans="1:7" ht="12.75">
      <c r="A160" s="56"/>
      <c r="B160" s="61"/>
      <c r="C160" s="62" t="s">
        <v>46</v>
      </c>
      <c r="D160" s="66"/>
      <c r="E160" s="658"/>
      <c r="F160" s="658"/>
      <c r="G160" s="684"/>
    </row>
    <row r="161" spans="1:7" ht="12.75">
      <c r="A161" s="56"/>
      <c r="B161" s="61"/>
      <c r="C161" s="62"/>
      <c r="D161" s="66"/>
      <c r="E161" s="658"/>
      <c r="F161" s="658"/>
      <c r="G161" s="684"/>
    </row>
    <row r="162" spans="1:7" ht="12.75">
      <c r="A162" s="56"/>
      <c r="B162" s="61"/>
      <c r="C162" s="62"/>
      <c r="D162" s="66"/>
      <c r="E162" s="658"/>
      <c r="F162" s="658"/>
      <c r="G162" s="684"/>
    </row>
    <row r="163" spans="1:7" ht="12.75">
      <c r="A163" s="74"/>
      <c r="B163" s="75"/>
      <c r="C163" s="63"/>
      <c r="D163" s="66"/>
      <c r="E163" s="657"/>
      <c r="F163" s="657"/>
      <c r="G163" s="684"/>
    </row>
    <row r="164" spans="1:7" ht="12.75">
      <c r="A164" s="76" t="s">
        <v>48</v>
      </c>
      <c r="B164" s="77"/>
      <c r="C164" s="78"/>
      <c r="D164" s="79"/>
      <c r="E164" s="665">
        <f>SUM(E155:E163)</f>
        <v>0</v>
      </c>
      <c r="F164" s="665">
        <f>SUM(F155:F163)</f>
        <v>0</v>
      </c>
      <c r="G164" s="684"/>
    </row>
    <row r="165" spans="1:7" ht="12.75">
      <c r="A165" s="74"/>
      <c r="B165" s="75"/>
      <c r="C165" s="63"/>
      <c r="D165" s="66"/>
      <c r="E165" s="659"/>
      <c r="F165" s="659"/>
      <c r="G165" s="684"/>
    </row>
    <row r="166" spans="1:7" ht="12.75">
      <c r="A166" s="74"/>
      <c r="B166" s="75"/>
      <c r="C166" s="63"/>
      <c r="D166" s="66"/>
      <c r="E166" s="659"/>
      <c r="F166" s="659"/>
      <c r="G166" s="684"/>
    </row>
    <row r="167" spans="1:7" ht="12.75">
      <c r="A167" s="56" t="s">
        <v>49</v>
      </c>
      <c r="B167" s="61"/>
      <c r="C167" s="62"/>
      <c r="D167" s="66"/>
      <c r="E167" s="658"/>
      <c r="F167" s="658"/>
      <c r="G167" s="684"/>
    </row>
    <row r="168" spans="1:9" s="216" customFormat="1" ht="12.75">
      <c r="A168" s="221"/>
      <c r="B168" s="195" t="s">
        <v>273</v>
      </c>
      <c r="C168" s="222"/>
      <c r="D168" s="217" t="s">
        <v>274</v>
      </c>
      <c r="E168" s="661"/>
      <c r="F168" s="661">
        <v>100000</v>
      </c>
      <c r="G168" s="693"/>
      <c r="H168" s="694"/>
      <c r="I168" s="690"/>
    </row>
    <row r="169" spans="1:9" s="216" customFormat="1" ht="12.75">
      <c r="A169" s="221"/>
      <c r="B169" s="195" t="s">
        <v>273</v>
      </c>
      <c r="C169" s="222"/>
      <c r="D169" s="217" t="s">
        <v>569</v>
      </c>
      <c r="E169" s="661">
        <v>99999</v>
      </c>
      <c r="F169" s="661"/>
      <c r="G169" s="684">
        <f>SUM(E168:E169)</f>
        <v>99999</v>
      </c>
      <c r="H169" s="684">
        <f>SUM(F168:F169)</f>
        <v>100000</v>
      </c>
      <c r="I169" s="686">
        <f>+G169-H169</f>
        <v>-1</v>
      </c>
    </row>
    <row r="170" spans="1:9" s="216" customFormat="1" ht="12.75">
      <c r="A170" s="213"/>
      <c r="B170" s="582" t="s">
        <v>951</v>
      </c>
      <c r="C170" s="157"/>
      <c r="D170" s="217" t="s">
        <v>256</v>
      </c>
      <c r="E170" s="661"/>
      <c r="F170" s="661">
        <v>5225705</v>
      </c>
      <c r="G170" s="684"/>
      <c r="H170" s="684"/>
      <c r="I170" s="686"/>
    </row>
    <row r="171" spans="1:9" s="216" customFormat="1" ht="12.75">
      <c r="A171" s="213"/>
      <c r="B171" s="582" t="s">
        <v>570</v>
      </c>
      <c r="C171" s="157"/>
      <c r="D171" s="217" t="s">
        <v>1128</v>
      </c>
      <c r="E171" s="661">
        <v>2000000</v>
      </c>
      <c r="F171" s="661"/>
      <c r="G171" s="693"/>
      <c r="H171" s="694"/>
      <c r="I171" s="686"/>
    </row>
    <row r="172" spans="1:9" s="216" customFormat="1" ht="12.75">
      <c r="A172" s="218"/>
      <c r="B172" s="195" t="s">
        <v>951</v>
      </c>
      <c r="C172" s="219"/>
      <c r="D172" s="217" t="s">
        <v>351</v>
      </c>
      <c r="E172" s="661">
        <v>3225704</v>
      </c>
      <c r="F172" s="661"/>
      <c r="G172" s="684">
        <f>SUM(E170:E172)</f>
        <v>5225704</v>
      </c>
      <c r="H172" s="684">
        <f>SUM(F170:F172)</f>
        <v>5225705</v>
      </c>
      <c r="I172" s="686">
        <f>+G172-H172</f>
        <v>-1</v>
      </c>
    </row>
    <row r="173" spans="1:9" s="216" customFormat="1" ht="12.75">
      <c r="A173" s="213"/>
      <c r="B173" s="214" t="s">
        <v>205</v>
      </c>
      <c r="C173" s="157"/>
      <c r="D173" s="215" t="s">
        <v>214</v>
      </c>
      <c r="E173" s="661"/>
      <c r="F173" s="660">
        <v>2</v>
      </c>
      <c r="G173" s="693"/>
      <c r="H173" s="694"/>
      <c r="I173" s="686"/>
    </row>
    <row r="174" spans="1:9" s="216" customFormat="1" ht="12.75">
      <c r="A174" s="213"/>
      <c r="B174" s="214" t="s">
        <v>1121</v>
      </c>
      <c r="C174" s="157"/>
      <c r="D174" s="215" t="s">
        <v>1149</v>
      </c>
      <c r="E174" s="661">
        <v>1</v>
      </c>
      <c r="F174" s="660"/>
      <c r="G174" s="684">
        <f>SUM(E173:E174)</f>
        <v>1</v>
      </c>
      <c r="H174" s="684">
        <f>SUM(F173:F174)</f>
        <v>2</v>
      </c>
      <c r="I174" s="686">
        <f>+G174-H174</f>
        <v>-1</v>
      </c>
    </row>
    <row r="175" spans="1:9" s="216" customFormat="1" ht="12.75">
      <c r="A175" s="213"/>
      <c r="B175" s="214" t="s">
        <v>208</v>
      </c>
      <c r="C175" s="157"/>
      <c r="D175" s="215" t="s">
        <v>214</v>
      </c>
      <c r="E175" s="661"/>
      <c r="F175" s="660">
        <v>2</v>
      </c>
      <c r="G175" s="685"/>
      <c r="H175" s="686"/>
      <c r="I175" s="686"/>
    </row>
    <row r="176" spans="1:9" s="216" customFormat="1" ht="12.75">
      <c r="A176" s="213"/>
      <c r="B176" s="214" t="s">
        <v>516</v>
      </c>
      <c r="C176" s="157"/>
      <c r="D176" s="215" t="s">
        <v>576</v>
      </c>
      <c r="E176" s="661">
        <v>1</v>
      </c>
      <c r="F176" s="660"/>
      <c r="G176" s="684">
        <f>SUM(E175:E176)</f>
        <v>1</v>
      </c>
      <c r="H176" s="684">
        <f>SUM(F175:F176)</f>
        <v>2</v>
      </c>
      <c r="I176" s="686">
        <f>+G176-H176</f>
        <v>-1</v>
      </c>
    </row>
    <row r="177" spans="1:9" s="216" customFormat="1" ht="12.75">
      <c r="A177" s="213"/>
      <c r="B177" s="214" t="s">
        <v>209</v>
      </c>
      <c r="C177" s="157"/>
      <c r="D177" s="215" t="s">
        <v>214</v>
      </c>
      <c r="E177" s="661"/>
      <c r="F177" s="660">
        <v>2</v>
      </c>
      <c r="G177" s="685"/>
      <c r="H177" s="686"/>
      <c r="I177" s="686"/>
    </row>
    <row r="178" spans="1:9" s="216" customFormat="1" ht="12.75">
      <c r="A178" s="213"/>
      <c r="B178" s="214" t="s">
        <v>209</v>
      </c>
      <c r="C178" s="157"/>
      <c r="D178" s="215" t="s">
        <v>1129</v>
      </c>
      <c r="E178" s="661"/>
      <c r="F178" s="660">
        <v>499998</v>
      </c>
      <c r="G178" s="693"/>
      <c r="H178" s="694"/>
      <c r="I178" s="686"/>
    </row>
    <row r="179" spans="1:9" s="216" customFormat="1" ht="12.75">
      <c r="A179" s="213"/>
      <c r="B179" s="214" t="s">
        <v>1118</v>
      </c>
      <c r="C179" s="157"/>
      <c r="D179" s="215" t="s">
        <v>1149</v>
      </c>
      <c r="E179" s="661">
        <v>499999</v>
      </c>
      <c r="F179" s="660"/>
      <c r="G179" s="684">
        <f>SUM(E177:E179)</f>
        <v>499999</v>
      </c>
      <c r="H179" s="684">
        <f>SUM(F177:F179)</f>
        <v>500000</v>
      </c>
      <c r="I179" s="686">
        <f>+G179-H179</f>
        <v>-1</v>
      </c>
    </row>
    <row r="180" spans="1:9" s="216" customFormat="1" ht="12.75">
      <c r="A180" s="213"/>
      <c r="B180" s="195" t="s">
        <v>245</v>
      </c>
      <c r="C180" s="219"/>
      <c r="D180" s="217" t="s">
        <v>241</v>
      </c>
      <c r="E180" s="661"/>
      <c r="F180" s="661">
        <v>2</v>
      </c>
      <c r="G180" s="693"/>
      <c r="H180" s="694"/>
      <c r="I180" s="686"/>
    </row>
    <row r="181" spans="1:9" s="216" customFormat="1" ht="12.75">
      <c r="A181" s="213"/>
      <c r="B181" s="195" t="s">
        <v>1237</v>
      </c>
      <c r="C181" s="219"/>
      <c r="D181" s="217" t="s">
        <v>1149</v>
      </c>
      <c r="E181" s="661">
        <v>1</v>
      </c>
      <c r="F181" s="661"/>
      <c r="G181" s="684">
        <f>SUM(E180:E181)</f>
        <v>1</v>
      </c>
      <c r="H181" s="684">
        <f>SUM(F180:F181)</f>
        <v>2</v>
      </c>
      <c r="I181" s="686">
        <f>+G181-H181</f>
        <v>-1</v>
      </c>
    </row>
    <row r="182" spans="1:9" s="216" customFormat="1" ht="12.75">
      <c r="A182" s="220"/>
      <c r="B182" s="195" t="s">
        <v>242</v>
      </c>
      <c r="C182" s="158"/>
      <c r="D182" s="217" t="s">
        <v>241</v>
      </c>
      <c r="E182" s="661"/>
      <c r="F182" s="661">
        <v>3200002</v>
      </c>
      <c r="G182" s="693"/>
      <c r="H182" s="694"/>
      <c r="I182" s="686"/>
    </row>
    <row r="183" spans="1:9" s="216" customFormat="1" ht="12.75">
      <c r="A183" s="220"/>
      <c r="B183" s="195" t="s">
        <v>1238</v>
      </c>
      <c r="C183" s="158"/>
      <c r="D183" s="217" t="s">
        <v>1149</v>
      </c>
      <c r="E183" s="661">
        <v>231552</v>
      </c>
      <c r="F183" s="661"/>
      <c r="G183" s="684"/>
      <c r="H183" s="684"/>
      <c r="I183" s="686"/>
    </row>
    <row r="184" spans="1:9" s="216" customFormat="1" ht="12.75">
      <c r="A184" s="220"/>
      <c r="B184" s="195" t="s">
        <v>1238</v>
      </c>
      <c r="C184" s="158"/>
      <c r="D184" s="217" t="s">
        <v>576</v>
      </c>
      <c r="E184" s="661">
        <v>2968449</v>
      </c>
      <c r="F184" s="661"/>
      <c r="G184" s="684">
        <f>SUM(E182:E184)</f>
        <v>3200001</v>
      </c>
      <c r="H184" s="684">
        <f>SUM(F182:F184)</f>
        <v>3200002</v>
      </c>
      <c r="I184" s="686">
        <f>+G184-H184</f>
        <v>-1</v>
      </c>
    </row>
    <row r="185" spans="1:9" s="216" customFormat="1" ht="12.75">
      <c r="A185" s="221"/>
      <c r="B185" s="195" t="s">
        <v>548</v>
      </c>
      <c r="C185" s="222"/>
      <c r="D185" s="217" t="s">
        <v>1130</v>
      </c>
      <c r="E185" s="661"/>
      <c r="F185" s="661">
        <v>2</v>
      </c>
      <c r="G185" s="693"/>
      <c r="H185" s="694"/>
      <c r="I185" s="686"/>
    </row>
    <row r="186" spans="1:9" s="216" customFormat="1" ht="12.75">
      <c r="A186" s="221"/>
      <c r="B186" s="195" t="s">
        <v>1122</v>
      </c>
      <c r="C186" s="222"/>
      <c r="D186" s="217" t="s">
        <v>1149</v>
      </c>
      <c r="E186" s="661">
        <v>1</v>
      </c>
      <c r="F186" s="661"/>
      <c r="G186" s="684">
        <f>SUM(E185:E186)</f>
        <v>1</v>
      </c>
      <c r="H186" s="684">
        <f>SUM(F185:F186)</f>
        <v>2</v>
      </c>
      <c r="I186" s="686">
        <f>+G186-H186</f>
        <v>-1</v>
      </c>
    </row>
    <row r="187" spans="1:9" s="216" customFormat="1" ht="12.75">
      <c r="A187" s="221"/>
      <c r="B187" s="195" t="s">
        <v>547</v>
      </c>
      <c r="C187" s="222"/>
      <c r="D187" s="217" t="s">
        <v>1130</v>
      </c>
      <c r="E187" s="661"/>
      <c r="F187" s="661">
        <v>2</v>
      </c>
      <c r="G187" s="693"/>
      <c r="H187" s="694"/>
      <c r="I187" s="686"/>
    </row>
    <row r="188" spans="1:9" s="216" customFormat="1" ht="12.75">
      <c r="A188" s="221"/>
      <c r="B188" s="195" t="s">
        <v>1123</v>
      </c>
      <c r="C188" s="222"/>
      <c r="D188" s="217" t="s">
        <v>1149</v>
      </c>
      <c r="E188" s="661">
        <v>1</v>
      </c>
      <c r="F188" s="661"/>
      <c r="G188" s="684">
        <f>SUM(E187:E188)</f>
        <v>1</v>
      </c>
      <c r="H188" s="684">
        <f>SUM(F187:F188)</f>
        <v>2</v>
      </c>
      <c r="I188" s="686">
        <f>+G188-H188</f>
        <v>-1</v>
      </c>
    </row>
    <row r="189" spans="1:9" s="216" customFormat="1" ht="12.75">
      <c r="A189" s="218"/>
      <c r="B189" s="195" t="s">
        <v>244</v>
      </c>
      <c r="C189" s="219"/>
      <c r="D189" s="217" t="s">
        <v>241</v>
      </c>
      <c r="E189" s="661"/>
      <c r="F189" s="661">
        <v>2.5</v>
      </c>
      <c r="G189" s="685">
        <f>+E189</f>
        <v>0</v>
      </c>
      <c r="H189" s="685">
        <f>+F189</f>
        <v>2.5</v>
      </c>
      <c r="I189" s="686">
        <f>+G189-H189</f>
        <v>-2.5</v>
      </c>
    </row>
    <row r="190" spans="1:9" s="216" customFormat="1" ht="12.75">
      <c r="A190" s="218"/>
      <c r="B190" s="195" t="s">
        <v>243</v>
      </c>
      <c r="C190" s="219"/>
      <c r="D190" s="217" t="s">
        <v>241</v>
      </c>
      <c r="E190" s="661"/>
      <c r="F190" s="661">
        <v>2.5</v>
      </c>
      <c r="G190" s="685">
        <f>+E190</f>
        <v>0</v>
      </c>
      <c r="H190" s="685">
        <f>+F190</f>
        <v>2.5</v>
      </c>
      <c r="I190" s="686">
        <f>+G190-H190</f>
        <v>-2.5</v>
      </c>
    </row>
    <row r="191" spans="1:9" s="216" customFormat="1" ht="12.75">
      <c r="A191" s="221"/>
      <c r="B191" s="195" t="s">
        <v>1119</v>
      </c>
      <c r="C191" s="222"/>
      <c r="D191" s="217" t="s">
        <v>1130</v>
      </c>
      <c r="E191" s="661"/>
      <c r="F191" s="661">
        <v>2</v>
      </c>
      <c r="G191" s="685"/>
      <c r="H191" s="685"/>
      <c r="I191" s="686"/>
    </row>
    <row r="192" spans="1:9" s="216" customFormat="1" ht="12.75">
      <c r="A192" s="221"/>
      <c r="B192" s="195" t="s">
        <v>1120</v>
      </c>
      <c r="C192" s="222"/>
      <c r="D192" s="217" t="s">
        <v>1149</v>
      </c>
      <c r="E192" s="661">
        <v>1</v>
      </c>
      <c r="F192" s="661"/>
      <c r="G192" s="684">
        <f>SUM(E191:E192)</f>
        <v>1</v>
      </c>
      <c r="H192" s="684">
        <f>SUM(F191:F192)</f>
        <v>2</v>
      </c>
      <c r="I192" s="686">
        <f>+G192-H192</f>
        <v>-1</v>
      </c>
    </row>
    <row r="193" spans="1:9" s="216" customFormat="1" ht="12.75">
      <c r="A193" s="221"/>
      <c r="B193" s="195" t="s">
        <v>309</v>
      </c>
      <c r="C193" s="222"/>
      <c r="D193" s="217" t="s">
        <v>308</v>
      </c>
      <c r="E193" s="661"/>
      <c r="F193" s="661">
        <v>1500000</v>
      </c>
      <c r="G193" s="685"/>
      <c r="H193" s="686"/>
      <c r="I193" s="686"/>
    </row>
    <row r="194" spans="1:9" s="216" customFormat="1" ht="12.75">
      <c r="A194" s="221"/>
      <c r="B194" s="195" t="s">
        <v>309</v>
      </c>
      <c r="C194" s="222"/>
      <c r="D194" s="217" t="s">
        <v>1131</v>
      </c>
      <c r="E194" s="661">
        <v>1000000</v>
      </c>
      <c r="F194" s="661"/>
      <c r="G194" s="685"/>
      <c r="H194" s="686"/>
      <c r="I194" s="686"/>
    </row>
    <row r="195" spans="1:9" s="216" customFormat="1" ht="12.75">
      <c r="A195" s="221"/>
      <c r="B195" s="195" t="s">
        <v>1240</v>
      </c>
      <c r="C195" s="222"/>
      <c r="D195" s="217" t="s">
        <v>1152</v>
      </c>
      <c r="E195" s="661">
        <v>94000</v>
      </c>
      <c r="F195" s="661"/>
      <c r="G195" s="693"/>
      <c r="H195" s="694"/>
      <c r="I195" s="686"/>
    </row>
    <row r="196" spans="1:9" s="216" customFormat="1" ht="12.75">
      <c r="A196" s="221"/>
      <c r="B196" s="195" t="s">
        <v>952</v>
      </c>
      <c r="C196" s="222"/>
      <c r="D196" s="217" t="s">
        <v>1397</v>
      </c>
      <c r="E196" s="661">
        <v>405999</v>
      </c>
      <c r="F196" s="661"/>
      <c r="G196" s="684">
        <f>SUM(E193:E196)</f>
        <v>1499999</v>
      </c>
      <c r="H196" s="684">
        <f>SUM(F193:F196)</f>
        <v>1500000</v>
      </c>
      <c r="I196" s="686">
        <f>+G196-H196</f>
        <v>-1</v>
      </c>
    </row>
    <row r="197" spans="1:9" s="216" customFormat="1" ht="12.75">
      <c r="A197" s="213"/>
      <c r="B197" s="214" t="s">
        <v>175</v>
      </c>
      <c r="C197" s="157"/>
      <c r="D197" s="215" t="s">
        <v>176</v>
      </c>
      <c r="E197" s="661"/>
      <c r="F197" s="660">
        <v>20000</v>
      </c>
      <c r="G197" s="693"/>
      <c r="H197" s="694"/>
      <c r="I197" s="686"/>
    </row>
    <row r="198" spans="1:9" s="216" customFormat="1" ht="12.75">
      <c r="A198" s="213"/>
      <c r="B198" s="214" t="s">
        <v>175</v>
      </c>
      <c r="C198" s="157"/>
      <c r="D198" s="215" t="s">
        <v>715</v>
      </c>
      <c r="E198" s="661"/>
      <c r="F198" s="660">
        <v>980000</v>
      </c>
      <c r="G198" s="684">
        <f>SUM(E197:E198)</f>
        <v>0</v>
      </c>
      <c r="H198" s="684">
        <f>SUM(F197:F198)</f>
        <v>1000000</v>
      </c>
      <c r="I198" s="686">
        <f>+G198-H198</f>
        <v>-1000000</v>
      </c>
    </row>
    <row r="199" spans="1:9" ht="12.75">
      <c r="A199" s="56"/>
      <c r="B199" s="61" t="s">
        <v>192</v>
      </c>
      <c r="C199" s="62"/>
      <c r="D199" s="64" t="s">
        <v>191</v>
      </c>
      <c r="E199" s="658"/>
      <c r="F199" s="659">
        <v>1295000</v>
      </c>
      <c r="G199" s="693"/>
      <c r="H199" s="694"/>
      <c r="I199" s="686"/>
    </row>
    <row r="200" spans="1:9" ht="12.75">
      <c r="A200" s="56"/>
      <c r="B200" s="61" t="s">
        <v>192</v>
      </c>
      <c r="C200" s="62"/>
      <c r="D200" s="64" t="s">
        <v>555</v>
      </c>
      <c r="E200" s="661">
        <v>1294999</v>
      </c>
      <c r="F200" s="659"/>
      <c r="G200" s="684">
        <f>SUM(E199:E200)</f>
        <v>1294999</v>
      </c>
      <c r="H200" s="684">
        <f>SUM(F199:F200)</f>
        <v>1295000</v>
      </c>
      <c r="I200" s="686">
        <f>+G200-H200</f>
        <v>-1</v>
      </c>
    </row>
    <row r="201" spans="1:9" ht="12.75">
      <c r="A201" s="56"/>
      <c r="B201" s="61" t="s">
        <v>24</v>
      </c>
      <c r="C201" s="62"/>
      <c r="D201" s="64" t="s">
        <v>25</v>
      </c>
      <c r="E201" s="658"/>
      <c r="F201" s="659">
        <v>47500000</v>
      </c>
      <c r="G201" s="693"/>
      <c r="H201" s="694"/>
      <c r="I201" s="686"/>
    </row>
    <row r="202" spans="1:9" s="216" customFormat="1" ht="12.75">
      <c r="A202" s="213"/>
      <c r="B202" s="214" t="s">
        <v>1117</v>
      </c>
      <c r="C202" s="157"/>
      <c r="D202" s="215" t="s">
        <v>1149</v>
      </c>
      <c r="E202" s="661">
        <v>47499999</v>
      </c>
      <c r="F202" s="660"/>
      <c r="G202" s="684">
        <f>SUM(E201:E202)</f>
        <v>47499999</v>
      </c>
      <c r="H202" s="684">
        <f>SUM(F201:F202)</f>
        <v>47500000</v>
      </c>
      <c r="I202" s="686">
        <f>+G202-H202</f>
        <v>-1</v>
      </c>
    </row>
    <row r="203" spans="1:9" s="216" customFormat="1" ht="12.75">
      <c r="A203" s="213"/>
      <c r="B203" s="214" t="s">
        <v>210</v>
      </c>
      <c r="C203" s="157"/>
      <c r="D203" s="215" t="s">
        <v>214</v>
      </c>
      <c r="E203" s="661"/>
      <c r="F203" s="660">
        <v>2</v>
      </c>
      <c r="G203" s="693"/>
      <c r="H203" s="694"/>
      <c r="I203" s="686"/>
    </row>
    <row r="204" spans="1:9" s="216" customFormat="1" ht="12.75">
      <c r="A204" s="213"/>
      <c r="B204" s="214" t="s">
        <v>1124</v>
      </c>
      <c r="C204" s="157"/>
      <c r="D204" s="215" t="s">
        <v>1149</v>
      </c>
      <c r="E204" s="661">
        <v>1</v>
      </c>
      <c r="F204" s="660"/>
      <c r="G204" s="684">
        <f>SUM(E203:E204)</f>
        <v>1</v>
      </c>
      <c r="H204" s="684">
        <f>SUM(F203:F204)</f>
        <v>2</v>
      </c>
      <c r="I204" s="686">
        <f>+G204-H204</f>
        <v>-1</v>
      </c>
    </row>
    <row r="205" spans="1:9" s="216" customFormat="1" ht="12.75">
      <c r="A205" s="221"/>
      <c r="B205" s="195" t="s">
        <v>312</v>
      </c>
      <c r="C205" s="222"/>
      <c r="D205" s="217" t="s">
        <v>311</v>
      </c>
      <c r="E205" s="661"/>
      <c r="F205" s="661">
        <v>4350000</v>
      </c>
      <c r="G205" s="695" t="s">
        <v>572</v>
      </c>
      <c r="H205" s="694"/>
      <c r="I205" s="686"/>
    </row>
    <row r="206" spans="1:9" s="216" customFormat="1" ht="12.75">
      <c r="A206" s="221"/>
      <c r="B206" s="195" t="s">
        <v>1239</v>
      </c>
      <c r="C206" s="222"/>
      <c r="D206" s="217" t="s">
        <v>1152</v>
      </c>
      <c r="E206" s="661">
        <v>4350000</v>
      </c>
      <c r="F206" s="661"/>
      <c r="G206" s="684">
        <f>SUM(E205:E206)</f>
        <v>4350000</v>
      </c>
      <c r="H206" s="684">
        <f>SUM(F205:F206)</f>
        <v>4350000</v>
      </c>
      <c r="I206" s="686">
        <f>+G206-H206</f>
        <v>0</v>
      </c>
    </row>
    <row r="207" spans="1:9" s="216" customFormat="1" ht="12.75">
      <c r="A207" s="221"/>
      <c r="B207" s="195" t="s">
        <v>246</v>
      </c>
      <c r="C207" s="219"/>
      <c r="D207" s="217" t="s">
        <v>241</v>
      </c>
      <c r="E207" s="661"/>
      <c r="F207" s="661">
        <v>2</v>
      </c>
      <c r="G207" s="685">
        <f>+E207</f>
        <v>0</v>
      </c>
      <c r="H207" s="685">
        <f>+F207</f>
        <v>2</v>
      </c>
      <c r="I207" s="686">
        <f>+G207-H207</f>
        <v>-2</v>
      </c>
    </row>
    <row r="208" spans="1:9" s="216" customFormat="1" ht="12.75">
      <c r="A208" s="213"/>
      <c r="B208" s="195" t="s">
        <v>226</v>
      </c>
      <c r="C208" s="157"/>
      <c r="D208" s="217" t="s">
        <v>222</v>
      </c>
      <c r="E208" s="661"/>
      <c r="F208" s="660">
        <v>2500002</v>
      </c>
      <c r="G208" s="685"/>
      <c r="H208" s="685"/>
      <c r="I208" s="686"/>
    </row>
    <row r="209" spans="1:9" s="216" customFormat="1" ht="12.75">
      <c r="A209" s="213"/>
      <c r="B209" s="195" t="s">
        <v>226</v>
      </c>
      <c r="C209" s="157"/>
      <c r="D209" s="217" t="s">
        <v>604</v>
      </c>
      <c r="E209" s="661">
        <v>2075001</v>
      </c>
      <c r="F209" s="660"/>
      <c r="G209" s="684">
        <f>SUM(E208:E209)</f>
        <v>2075001</v>
      </c>
      <c r="H209" s="684">
        <f>SUM(F208:F209)</f>
        <v>2500002</v>
      </c>
      <c r="I209" s="686">
        <f>+G209-H209</f>
        <v>-425001</v>
      </c>
    </row>
    <row r="210" spans="1:9" s="216" customFormat="1" ht="12.75">
      <c r="A210" s="213"/>
      <c r="B210" s="195" t="s">
        <v>252</v>
      </c>
      <c r="C210" s="157"/>
      <c r="D210" s="217" t="s">
        <v>253</v>
      </c>
      <c r="E210" s="661"/>
      <c r="F210" s="661">
        <v>3200000</v>
      </c>
      <c r="G210" s="693"/>
      <c r="H210" s="694"/>
      <c r="I210" s="686"/>
    </row>
    <row r="211" spans="1:9" s="216" customFormat="1" ht="12.75">
      <c r="A211" s="213"/>
      <c r="B211" s="195" t="s">
        <v>460</v>
      </c>
      <c r="C211" s="157"/>
      <c r="D211" s="217" t="s">
        <v>351</v>
      </c>
      <c r="E211" s="661">
        <v>1417014</v>
      </c>
      <c r="F211" s="661"/>
      <c r="G211" s="684">
        <f>SUM(E210:E211)</f>
        <v>1417014</v>
      </c>
      <c r="H211" s="684">
        <f>SUM(F210:F211)</f>
        <v>3200000</v>
      </c>
      <c r="I211" s="686">
        <f>+G211-H211</f>
        <v>-1782986</v>
      </c>
    </row>
    <row r="212" spans="1:9" s="216" customFormat="1" ht="12.75">
      <c r="A212" s="221"/>
      <c r="B212" s="582" t="s">
        <v>573</v>
      </c>
      <c r="C212" s="222"/>
      <c r="D212" s="217"/>
      <c r="E212" s="661"/>
      <c r="F212" s="661"/>
      <c r="G212" s="685"/>
      <c r="H212" s="686"/>
      <c r="I212" s="686"/>
    </row>
    <row r="213" spans="1:9" s="216" customFormat="1" ht="12.75">
      <c r="A213" s="221"/>
      <c r="B213" s="195" t="s">
        <v>768</v>
      </c>
      <c r="C213" s="222"/>
      <c r="D213" s="217"/>
      <c r="E213" s="661"/>
      <c r="F213" s="661"/>
      <c r="G213" s="693"/>
      <c r="H213" s="694"/>
      <c r="I213" s="686"/>
    </row>
    <row r="214" spans="1:9" s="216" customFormat="1" ht="12.75">
      <c r="A214" s="221"/>
      <c r="B214" s="195" t="s">
        <v>1236</v>
      </c>
      <c r="C214" s="222"/>
      <c r="D214" s="217"/>
      <c r="E214" s="661"/>
      <c r="F214" s="661"/>
      <c r="G214" s="684">
        <f>SUM(E212:E214)</f>
        <v>0</v>
      </c>
      <c r="H214" s="684">
        <f>SUM(F212:F214)</f>
        <v>0</v>
      </c>
      <c r="I214" s="686"/>
    </row>
    <row r="215" spans="1:9" s="216" customFormat="1" ht="12.75">
      <c r="A215" s="213"/>
      <c r="B215" s="195" t="s">
        <v>261</v>
      </c>
      <c r="C215" s="157"/>
      <c r="D215" s="217" t="s">
        <v>258</v>
      </c>
      <c r="E215" s="661"/>
      <c r="F215" s="661">
        <v>6000000</v>
      </c>
      <c r="G215" s="693"/>
      <c r="H215" s="694"/>
      <c r="I215" s="686"/>
    </row>
    <row r="216" spans="1:9" s="216" customFormat="1" ht="12.75">
      <c r="A216" s="213"/>
      <c r="B216" s="195" t="s">
        <v>1126</v>
      </c>
      <c r="C216" s="157"/>
      <c r="D216" s="217" t="s">
        <v>1149</v>
      </c>
      <c r="E216" s="661">
        <v>5999999</v>
      </c>
      <c r="F216" s="661"/>
      <c r="G216" s="684">
        <f>SUM(E215:E216)</f>
        <v>5999999</v>
      </c>
      <c r="H216" s="684">
        <f>SUM(F215:F216)</f>
        <v>6000000</v>
      </c>
      <c r="I216" s="686">
        <f>+G216-H216</f>
        <v>-1</v>
      </c>
    </row>
    <row r="217" spans="1:9" s="216" customFormat="1" ht="12.75">
      <c r="A217" s="213"/>
      <c r="B217" s="214" t="s">
        <v>213</v>
      </c>
      <c r="C217" s="157"/>
      <c r="D217" s="215" t="s">
        <v>214</v>
      </c>
      <c r="E217" s="661"/>
      <c r="F217" s="660">
        <v>2</v>
      </c>
      <c r="G217" s="693"/>
      <c r="H217" s="694"/>
      <c r="I217" s="686"/>
    </row>
    <row r="218" spans="1:9" s="216" customFormat="1" ht="12.75">
      <c r="A218" s="213"/>
      <c r="B218" s="214" t="s">
        <v>1127</v>
      </c>
      <c r="C218" s="157"/>
      <c r="D218" s="215" t="s">
        <v>1149</v>
      </c>
      <c r="E218" s="661">
        <v>1</v>
      </c>
      <c r="F218" s="660"/>
      <c r="G218" s="684">
        <f>SUM(E217:E218)</f>
        <v>1</v>
      </c>
      <c r="H218" s="684">
        <f>SUM(F217:F218)</f>
        <v>2</v>
      </c>
      <c r="I218" s="686">
        <f>+G218-H218</f>
        <v>-1</v>
      </c>
    </row>
    <row r="219" spans="1:9" s="216" customFormat="1" ht="12.75">
      <c r="A219" s="213"/>
      <c r="B219" s="214" t="s">
        <v>221</v>
      </c>
      <c r="C219" s="157"/>
      <c r="D219" s="215" t="s">
        <v>220</v>
      </c>
      <c r="E219" s="661"/>
      <c r="F219" s="660">
        <v>2600000</v>
      </c>
      <c r="G219" s="695" t="s">
        <v>572</v>
      </c>
      <c r="H219" s="694"/>
      <c r="I219" s="686"/>
    </row>
    <row r="220" spans="1:9" s="216" customFormat="1" ht="12.75">
      <c r="A220" s="213"/>
      <c r="B220" s="214" t="s">
        <v>1125</v>
      </c>
      <c r="C220" s="157"/>
      <c r="D220" s="215" t="s">
        <v>1149</v>
      </c>
      <c r="E220" s="661">
        <v>2599999</v>
      </c>
      <c r="F220" s="660"/>
      <c r="G220" s="684">
        <f>SUM(E219:E220)</f>
        <v>2599999</v>
      </c>
      <c r="H220" s="684">
        <f>SUM(F219:F220)</f>
        <v>2600000</v>
      </c>
      <c r="I220" s="686">
        <f>+G220-H220</f>
        <v>-1</v>
      </c>
    </row>
    <row r="221" spans="1:9" s="216" customFormat="1" ht="12.75">
      <c r="A221" s="213"/>
      <c r="B221" s="195" t="s">
        <v>247</v>
      </c>
      <c r="C221" s="157"/>
      <c r="D221" s="217" t="s">
        <v>241</v>
      </c>
      <c r="E221" s="661"/>
      <c r="F221" s="661">
        <v>60663597</v>
      </c>
      <c r="G221" s="685"/>
      <c r="H221" s="686"/>
      <c r="I221" s="686"/>
    </row>
    <row r="222" spans="1:9" s="216" customFormat="1" ht="12.75">
      <c r="A222" s="213"/>
      <c r="B222" s="195" t="s">
        <v>247</v>
      </c>
      <c r="C222" s="157"/>
      <c r="D222" s="217" t="s">
        <v>1133</v>
      </c>
      <c r="E222" s="661"/>
      <c r="F222" s="661">
        <v>3000000</v>
      </c>
      <c r="G222" s="693"/>
      <c r="H222" s="694"/>
      <c r="I222" s="686"/>
    </row>
    <row r="223" spans="1:9" s="216" customFormat="1" ht="12.75">
      <c r="A223" s="213"/>
      <c r="B223" s="195" t="s">
        <v>247</v>
      </c>
      <c r="C223" s="157"/>
      <c r="D223" s="217" t="s">
        <v>344</v>
      </c>
      <c r="E223" s="661"/>
      <c r="F223" s="661">
        <v>9816375</v>
      </c>
      <c r="G223" s="684"/>
      <c r="H223" s="684"/>
      <c r="I223" s="686"/>
    </row>
    <row r="224" spans="1:9" s="216" customFormat="1" ht="12.75">
      <c r="A224" s="213"/>
      <c r="B224" s="195" t="s">
        <v>574</v>
      </c>
      <c r="C224" s="157"/>
      <c r="D224" s="217" t="s">
        <v>576</v>
      </c>
      <c r="E224" s="661">
        <v>28140236</v>
      </c>
      <c r="F224" s="661"/>
      <c r="G224" s="684">
        <f>SUM(E221:E224)</f>
        <v>28140236</v>
      </c>
      <c r="H224" s="684">
        <f>SUM(F221:F224)</f>
        <v>73479972</v>
      </c>
      <c r="I224" s="686">
        <f>+G224-H224</f>
        <v>-45339736</v>
      </c>
    </row>
    <row r="225" spans="1:9" s="216" customFormat="1" ht="12.75">
      <c r="A225" s="213"/>
      <c r="B225" s="214" t="s">
        <v>217</v>
      </c>
      <c r="C225" s="157"/>
      <c r="D225" s="215" t="s">
        <v>215</v>
      </c>
      <c r="E225" s="660"/>
      <c r="F225" s="660">
        <v>2000000</v>
      </c>
      <c r="G225" s="693"/>
      <c r="H225" s="694"/>
      <c r="I225" s="686"/>
    </row>
    <row r="226" spans="1:9" s="216" customFormat="1" ht="12.75">
      <c r="A226" s="213"/>
      <c r="B226" s="214" t="s">
        <v>1235</v>
      </c>
      <c r="C226" s="157"/>
      <c r="D226" s="215" t="s">
        <v>1149</v>
      </c>
      <c r="E226" s="660">
        <v>1999999</v>
      </c>
      <c r="F226" s="660"/>
      <c r="G226" s="684">
        <f>SUM(E225:E226)</f>
        <v>1999999</v>
      </c>
      <c r="H226" s="684">
        <f>SUM(F225:F226)</f>
        <v>2000000</v>
      </c>
      <c r="I226" s="686">
        <f>+G226-H226</f>
        <v>-1</v>
      </c>
    </row>
    <row r="227" spans="1:9" s="216" customFormat="1" ht="12.75">
      <c r="A227" s="220"/>
      <c r="B227" s="195" t="s">
        <v>249</v>
      </c>
      <c r="C227" s="158"/>
      <c r="D227" s="217" t="s">
        <v>241</v>
      </c>
      <c r="E227" s="661"/>
      <c r="F227" s="661">
        <v>2</v>
      </c>
      <c r="G227" s="685">
        <f aca="true" t="shared" si="1" ref="G227:H230">+E227</f>
        <v>0</v>
      </c>
      <c r="H227" s="685">
        <f t="shared" si="1"/>
        <v>2</v>
      </c>
      <c r="I227" s="686">
        <f>+G227-H227</f>
        <v>-2</v>
      </c>
    </row>
    <row r="228" spans="1:9" s="216" customFormat="1" ht="12.75">
      <c r="A228" s="220"/>
      <c r="B228" s="195" t="s">
        <v>250</v>
      </c>
      <c r="C228" s="158"/>
      <c r="D228" s="217" t="s">
        <v>241</v>
      </c>
      <c r="E228" s="661"/>
      <c r="F228" s="661">
        <v>2</v>
      </c>
      <c r="G228" s="685">
        <f t="shared" si="1"/>
        <v>0</v>
      </c>
      <c r="H228" s="685">
        <f t="shared" si="1"/>
        <v>2</v>
      </c>
      <c r="I228" s="686">
        <f>+G228-H228</f>
        <v>-2</v>
      </c>
    </row>
    <row r="229" spans="1:9" s="216" customFormat="1" ht="12.75">
      <c r="A229" s="220"/>
      <c r="B229" s="195" t="s">
        <v>248</v>
      </c>
      <c r="C229" s="158"/>
      <c r="D229" s="217" t="s">
        <v>241</v>
      </c>
      <c r="E229" s="661"/>
      <c r="F229" s="661">
        <v>2</v>
      </c>
      <c r="G229" s="685">
        <f t="shared" si="1"/>
        <v>0</v>
      </c>
      <c r="H229" s="685">
        <f t="shared" si="1"/>
        <v>2</v>
      </c>
      <c r="I229" s="686">
        <f>+G229-H229</f>
        <v>-2</v>
      </c>
    </row>
    <row r="230" spans="1:9" s="216" customFormat="1" ht="12.75">
      <c r="A230" s="213"/>
      <c r="B230" s="214" t="s">
        <v>1065</v>
      </c>
      <c r="C230" s="157"/>
      <c r="D230" s="215" t="s">
        <v>214</v>
      </c>
      <c r="E230" s="661"/>
      <c r="F230" s="660">
        <v>2</v>
      </c>
      <c r="G230" s="685">
        <f t="shared" si="1"/>
        <v>0</v>
      </c>
      <c r="H230" s="685">
        <f t="shared" si="1"/>
        <v>2</v>
      </c>
      <c r="I230" s="686">
        <f>+G230-H230</f>
        <v>-2</v>
      </c>
    </row>
    <row r="231" spans="1:9" s="216" customFormat="1" ht="12.75">
      <c r="A231" s="213"/>
      <c r="B231" s="214" t="s">
        <v>211</v>
      </c>
      <c r="C231" s="157"/>
      <c r="D231" s="215" t="s">
        <v>214</v>
      </c>
      <c r="E231" s="661"/>
      <c r="F231" s="660">
        <v>2</v>
      </c>
      <c r="G231" s="693"/>
      <c r="H231" s="694"/>
      <c r="I231" s="686"/>
    </row>
    <row r="232" spans="1:9" s="216" customFormat="1" ht="12.75">
      <c r="A232" s="213"/>
      <c r="B232" s="214" t="s">
        <v>1231</v>
      </c>
      <c r="C232" s="157"/>
      <c r="D232" s="215" t="s">
        <v>1149</v>
      </c>
      <c r="E232" s="661">
        <v>1</v>
      </c>
      <c r="F232" s="660"/>
      <c r="G232" s="684">
        <f>SUM(E231:E232)</f>
        <v>1</v>
      </c>
      <c r="H232" s="684">
        <f>SUM(F231:F232)</f>
        <v>2</v>
      </c>
      <c r="I232" s="686">
        <f>+G232-H232</f>
        <v>-1</v>
      </c>
    </row>
    <row r="233" spans="1:9" ht="12.75">
      <c r="A233" s="56"/>
      <c r="B233" s="61" t="s">
        <v>202</v>
      </c>
      <c r="C233" s="62"/>
      <c r="D233" s="64" t="s">
        <v>214</v>
      </c>
      <c r="E233" s="658"/>
      <c r="F233" s="659">
        <v>2</v>
      </c>
      <c r="G233" s="693"/>
      <c r="H233" s="694"/>
      <c r="I233" s="686"/>
    </row>
    <row r="234" spans="1:9" s="216" customFormat="1" ht="12.75">
      <c r="A234" s="213"/>
      <c r="B234" s="214" t="s">
        <v>1232</v>
      </c>
      <c r="C234" s="157"/>
      <c r="D234" s="215" t="s">
        <v>1149</v>
      </c>
      <c r="E234" s="661">
        <v>1</v>
      </c>
      <c r="F234" s="660"/>
      <c r="G234" s="684">
        <f>SUM(E233:E234)</f>
        <v>1</v>
      </c>
      <c r="H234" s="684">
        <f>SUM(F233:F234)</f>
        <v>2</v>
      </c>
      <c r="I234" s="686">
        <f>+G234-H234</f>
        <v>-1</v>
      </c>
    </row>
    <row r="235" spans="1:9" s="216" customFormat="1" ht="12.75">
      <c r="A235" s="213"/>
      <c r="B235" s="195" t="s">
        <v>262</v>
      </c>
      <c r="C235" s="157"/>
      <c r="D235" s="217" t="s">
        <v>263</v>
      </c>
      <c r="E235" s="661"/>
      <c r="F235" s="661">
        <v>187500</v>
      </c>
      <c r="G235" s="693"/>
      <c r="H235" s="694"/>
      <c r="I235" s="686"/>
    </row>
    <row r="236" spans="1:9" s="216" customFormat="1" ht="12.75">
      <c r="A236" s="213"/>
      <c r="B236" s="195" t="s">
        <v>262</v>
      </c>
      <c r="C236" s="157"/>
      <c r="D236" s="217" t="s">
        <v>686</v>
      </c>
      <c r="E236" s="661">
        <v>187499</v>
      </c>
      <c r="F236" s="661"/>
      <c r="G236" s="684">
        <f>SUM(E235:E236)</f>
        <v>187499</v>
      </c>
      <c r="H236" s="684">
        <f>SUM(F235:F236)</f>
        <v>187500</v>
      </c>
      <c r="I236" s="686">
        <f aca="true" t="shared" si="2" ref="I236:I244">+G236-H236</f>
        <v>-1</v>
      </c>
    </row>
    <row r="237" spans="1:9" s="216" customFormat="1" ht="12.75">
      <c r="A237" s="213"/>
      <c r="B237" s="214" t="s">
        <v>204</v>
      </c>
      <c r="C237" s="157"/>
      <c r="D237" s="215" t="s">
        <v>214</v>
      </c>
      <c r="E237" s="660"/>
      <c r="F237" s="660">
        <v>2</v>
      </c>
      <c r="G237" s="693"/>
      <c r="H237" s="694"/>
      <c r="I237" s="686"/>
    </row>
    <row r="238" spans="1:9" s="216" customFormat="1" ht="12.75">
      <c r="A238" s="213"/>
      <c r="B238" s="214" t="s">
        <v>1233</v>
      </c>
      <c r="C238" s="157"/>
      <c r="D238" s="215" t="s">
        <v>1149</v>
      </c>
      <c r="E238" s="660">
        <v>1</v>
      </c>
      <c r="F238" s="660"/>
      <c r="G238" s="684">
        <f>SUM(E237:E238)</f>
        <v>1</v>
      </c>
      <c r="H238" s="684">
        <f>SUM(F237:F238)</f>
        <v>2</v>
      </c>
      <c r="I238" s="686">
        <f t="shared" si="2"/>
        <v>-1</v>
      </c>
    </row>
    <row r="239" spans="1:9" s="216" customFormat="1" ht="12.75">
      <c r="A239" s="213"/>
      <c r="B239" s="214" t="s">
        <v>212</v>
      </c>
      <c r="C239" s="157"/>
      <c r="D239" s="215" t="s">
        <v>214</v>
      </c>
      <c r="E239" s="661"/>
      <c r="F239" s="660">
        <v>2</v>
      </c>
      <c r="G239" s="693"/>
      <c r="H239" s="694"/>
      <c r="I239" s="686"/>
    </row>
    <row r="240" spans="1:9" s="216" customFormat="1" ht="12.75">
      <c r="A240" s="213"/>
      <c r="B240" s="214" t="s">
        <v>212</v>
      </c>
      <c r="C240" s="157"/>
      <c r="D240" s="215" t="s">
        <v>1129</v>
      </c>
      <c r="E240" s="661"/>
      <c r="F240" s="660">
        <v>99998</v>
      </c>
      <c r="G240" s="684">
        <f>SUM(E239:E240)</f>
        <v>0</v>
      </c>
      <c r="H240" s="684">
        <f>SUM(F239:F240)</f>
        <v>100000</v>
      </c>
      <c r="I240" s="686">
        <f t="shared" si="2"/>
        <v>-100000</v>
      </c>
    </row>
    <row r="241" spans="1:9" s="216" customFormat="1" ht="12.75">
      <c r="A241" s="220"/>
      <c r="B241" s="195" t="s">
        <v>234</v>
      </c>
      <c r="C241" s="158"/>
      <c r="D241" s="217" t="s">
        <v>233</v>
      </c>
      <c r="E241" s="661"/>
      <c r="F241" s="661">
        <v>12056009</v>
      </c>
      <c r="G241" s="685"/>
      <c r="H241" s="686"/>
      <c r="I241" s="686"/>
    </row>
    <row r="242" spans="1:9" s="216" customFormat="1" ht="12.75">
      <c r="A242" s="220"/>
      <c r="B242" s="195" t="s">
        <v>575</v>
      </c>
      <c r="C242" s="158"/>
      <c r="D242" s="217" t="s">
        <v>604</v>
      </c>
      <c r="E242" s="661">
        <v>12052008</v>
      </c>
      <c r="F242" s="661"/>
      <c r="G242" s="684">
        <f>SUM(E241:E242)</f>
        <v>12052008</v>
      </c>
      <c r="H242" s="684">
        <f>SUM(F241:F242)</f>
        <v>12056009</v>
      </c>
      <c r="I242" s="686">
        <f t="shared" si="2"/>
        <v>-4001</v>
      </c>
    </row>
    <row r="243" spans="1:9" s="216" customFormat="1" ht="12.75">
      <c r="A243" s="213"/>
      <c r="B243" s="214" t="s">
        <v>203</v>
      </c>
      <c r="C243" s="157"/>
      <c r="D243" s="215" t="s">
        <v>214</v>
      </c>
      <c r="E243" s="661"/>
      <c r="F243" s="660">
        <v>2</v>
      </c>
      <c r="G243" s="693"/>
      <c r="H243" s="694"/>
      <c r="I243" s="686"/>
    </row>
    <row r="244" spans="1:9" s="216" customFormat="1" ht="12.75">
      <c r="A244" s="213"/>
      <c r="B244" s="214" t="s">
        <v>1234</v>
      </c>
      <c r="C244" s="157"/>
      <c r="D244" s="215" t="s">
        <v>1149</v>
      </c>
      <c r="E244" s="661">
        <v>1</v>
      </c>
      <c r="F244" s="660"/>
      <c r="G244" s="684">
        <f>SUM(E243:E244)</f>
        <v>1</v>
      </c>
      <c r="H244" s="684">
        <f>SUM(F243:F244)</f>
        <v>2</v>
      </c>
      <c r="I244" s="686">
        <f t="shared" si="2"/>
        <v>-1</v>
      </c>
    </row>
    <row r="245" spans="1:8" ht="12.75">
      <c r="A245" s="71"/>
      <c r="B245" s="72"/>
      <c r="C245" s="73"/>
      <c r="D245" s="66"/>
      <c r="E245" s="658"/>
      <c r="F245" s="658"/>
      <c r="G245" s="685"/>
      <c r="H245" s="686"/>
    </row>
    <row r="246" spans="1:9" s="216" customFormat="1" ht="12.75">
      <c r="A246" s="71"/>
      <c r="B246" s="72"/>
      <c r="C246" s="73"/>
      <c r="D246" s="66"/>
      <c r="E246" s="658"/>
      <c r="F246" s="658"/>
      <c r="G246" s="685"/>
      <c r="H246" s="686"/>
      <c r="I246" s="686"/>
    </row>
    <row r="247" spans="1:9" s="216" customFormat="1" ht="12.75">
      <c r="A247" s="74"/>
      <c r="B247" s="75"/>
      <c r="C247" s="63"/>
      <c r="D247" s="66"/>
      <c r="E247" s="657"/>
      <c r="F247" s="657"/>
      <c r="G247" s="685"/>
      <c r="H247" s="686"/>
      <c r="I247" s="686"/>
    </row>
    <row r="248" spans="1:9" s="216" customFormat="1" ht="12.75">
      <c r="A248" s="76" t="s">
        <v>50</v>
      </c>
      <c r="B248" s="77"/>
      <c r="C248" s="78"/>
      <c r="D248" s="79"/>
      <c r="E248" s="670">
        <f>SUM(E167:E247)</f>
        <v>118142467</v>
      </c>
      <c r="F248" s="665">
        <f>SUM(F167:F247)</f>
        <v>166794229</v>
      </c>
      <c r="G248" s="699">
        <f>SUM(G165:G247)</f>
        <v>118142467</v>
      </c>
      <c r="H248" s="700">
        <f>SUM(H165:H247)</f>
        <v>166794229</v>
      </c>
      <c r="I248" s="700">
        <f>+G248-H248</f>
        <v>-48651762</v>
      </c>
    </row>
    <row r="249" spans="1:10" s="216" customFormat="1" ht="12.75">
      <c r="A249" s="74"/>
      <c r="B249" s="75"/>
      <c r="C249" s="63"/>
      <c r="D249" s="66"/>
      <c r="E249" s="659"/>
      <c r="F249" s="659"/>
      <c r="G249" s="685"/>
      <c r="H249" s="686"/>
      <c r="I249" s="686">
        <f>+I248+'Con B&amp;S'!E24</f>
        <v>0</v>
      </c>
      <c r="J249" s="701" t="s">
        <v>517</v>
      </c>
    </row>
    <row r="250" spans="1:9" ht="12.75">
      <c r="A250" s="74"/>
      <c r="B250" s="75"/>
      <c r="C250" s="63"/>
      <c r="D250" s="66"/>
      <c r="E250" s="671"/>
      <c r="F250" s="671"/>
      <c r="G250" s="685"/>
      <c r="H250" s="686"/>
      <c r="I250" s="686"/>
    </row>
    <row r="251" spans="1:8" ht="12.75">
      <c r="A251" s="56" t="s">
        <v>51</v>
      </c>
      <c r="B251" s="61"/>
      <c r="C251" s="62"/>
      <c r="D251" s="66"/>
      <c r="E251" s="658"/>
      <c r="F251" s="658"/>
      <c r="G251" s="685"/>
      <c r="H251" s="686"/>
    </row>
    <row r="252" spans="1:7" ht="12.75">
      <c r="A252" s="56"/>
      <c r="B252" s="61" t="s">
        <v>300</v>
      </c>
      <c r="C252" s="62"/>
      <c r="D252" s="66" t="s">
        <v>301</v>
      </c>
      <c r="E252" s="658">
        <v>659047</v>
      </c>
      <c r="F252" s="658"/>
      <c r="G252" s="684"/>
    </row>
    <row r="253" spans="1:11" ht="12.75">
      <c r="A253" s="56"/>
      <c r="B253" s="61" t="s">
        <v>324</v>
      </c>
      <c r="C253" s="62"/>
      <c r="D253" s="66" t="s">
        <v>325</v>
      </c>
      <c r="E253" s="658">
        <v>931804</v>
      </c>
      <c r="F253" s="658"/>
      <c r="G253" s="684"/>
      <c r="J253" s="583" t="s">
        <v>577</v>
      </c>
      <c r="K253" s="581" t="s">
        <v>578</v>
      </c>
    </row>
    <row r="254" spans="1:11" s="216" customFormat="1" ht="12.75">
      <c r="A254" s="213"/>
      <c r="B254" s="214" t="s">
        <v>635</v>
      </c>
      <c r="C254" s="157"/>
      <c r="D254" s="217" t="s">
        <v>1144</v>
      </c>
      <c r="E254" s="661"/>
      <c r="F254" s="661">
        <v>2344765</v>
      </c>
      <c r="G254" s="688" t="s">
        <v>563</v>
      </c>
      <c r="H254" s="689" t="s">
        <v>564</v>
      </c>
      <c r="I254" s="690" t="s">
        <v>565</v>
      </c>
      <c r="J254" s="581" t="s">
        <v>579</v>
      </c>
      <c r="K254" s="581" t="s">
        <v>580</v>
      </c>
    </row>
    <row r="255" spans="1:11" ht="12.75">
      <c r="A255" s="74"/>
      <c r="B255" s="214" t="s">
        <v>1003</v>
      </c>
      <c r="C255" s="63"/>
      <c r="D255" s="66" t="s">
        <v>1004</v>
      </c>
      <c r="E255" s="658"/>
      <c r="F255" s="658">
        <f>617535+36400</f>
        <v>653935</v>
      </c>
      <c r="G255" s="684">
        <f>SUM(E251:E255)</f>
        <v>1590851</v>
      </c>
      <c r="H255" s="684">
        <f>SUM(F251:F255)</f>
        <v>2998700</v>
      </c>
      <c r="I255" s="686">
        <f>G255-H255</f>
        <v>-1407849</v>
      </c>
      <c r="J255" s="49">
        <v>9381221</v>
      </c>
      <c r="K255" s="584">
        <f>+J255+I255</f>
        <v>7973372</v>
      </c>
    </row>
    <row r="256" spans="1:11" ht="12.75">
      <c r="A256" s="74"/>
      <c r="B256" s="214" t="s">
        <v>62</v>
      </c>
      <c r="C256" s="63"/>
      <c r="D256" s="707" t="s">
        <v>520</v>
      </c>
      <c r="E256" s="708">
        <v>2983770.6780000003</v>
      </c>
      <c r="F256" s="708"/>
      <c r="G256" s="684"/>
      <c r="H256" s="684"/>
      <c r="I256" s="686"/>
      <c r="K256" s="586"/>
    </row>
    <row r="257" spans="1:9" s="216" customFormat="1" ht="12.75">
      <c r="A257" s="213"/>
      <c r="B257" s="162" t="s">
        <v>1218</v>
      </c>
      <c r="C257" s="154"/>
      <c r="D257" s="160" t="s">
        <v>1215</v>
      </c>
      <c r="E257" s="664">
        <v>76432</v>
      </c>
      <c r="F257" s="664">
        <v>76432</v>
      </c>
      <c r="G257" s="685"/>
      <c r="H257" s="686"/>
      <c r="I257" s="686"/>
    </row>
    <row r="258" spans="1:7" ht="12.75">
      <c r="A258" s="74"/>
      <c r="B258" s="585" t="s">
        <v>581</v>
      </c>
      <c r="C258" s="63"/>
      <c r="D258" s="217" t="s">
        <v>1149</v>
      </c>
      <c r="E258" s="661">
        <v>28634972</v>
      </c>
      <c r="F258" s="658"/>
      <c r="G258" s="684"/>
    </row>
    <row r="259" spans="1:11" ht="12.75">
      <c r="A259" s="74"/>
      <c r="B259" s="585" t="s">
        <v>582</v>
      </c>
      <c r="C259" s="63"/>
      <c r="D259" s="67" t="s">
        <v>568</v>
      </c>
      <c r="E259" s="658"/>
      <c r="F259" s="658">
        <v>26228413</v>
      </c>
      <c r="G259" s="684"/>
      <c r="H259" s="696"/>
      <c r="I259" s="697"/>
      <c r="J259" s="583" t="s">
        <v>577</v>
      </c>
      <c r="K259" s="581" t="s">
        <v>578</v>
      </c>
    </row>
    <row r="260" spans="1:11" ht="12.75">
      <c r="A260" s="74"/>
      <c r="B260" s="585" t="s">
        <v>583</v>
      </c>
      <c r="C260" s="63"/>
      <c r="D260" s="66"/>
      <c r="E260" s="658"/>
      <c r="F260" s="658"/>
      <c r="G260" s="684"/>
      <c r="H260" s="696"/>
      <c r="I260" s="697"/>
      <c r="J260" s="583"/>
      <c r="K260" s="581"/>
    </row>
    <row r="261" spans="1:11" ht="12.75">
      <c r="A261" s="74"/>
      <c r="B261" s="585" t="s">
        <v>584</v>
      </c>
      <c r="C261" s="63"/>
      <c r="D261" s="66" t="s">
        <v>585</v>
      </c>
      <c r="E261" s="658"/>
      <c r="F261" s="658">
        <v>237473</v>
      </c>
      <c r="G261" s="688" t="s">
        <v>563</v>
      </c>
      <c r="H261" s="689" t="s">
        <v>564</v>
      </c>
      <c r="I261" s="690" t="s">
        <v>565</v>
      </c>
      <c r="J261" s="581" t="s">
        <v>579</v>
      </c>
      <c r="K261" s="581" t="s">
        <v>580</v>
      </c>
    </row>
    <row r="262" spans="1:11" ht="12.75">
      <c r="A262" s="74"/>
      <c r="B262" s="585" t="s">
        <v>586</v>
      </c>
      <c r="C262" s="63"/>
      <c r="D262" s="67" t="s">
        <v>587</v>
      </c>
      <c r="E262" s="658"/>
      <c r="F262" s="658">
        <v>13703725</v>
      </c>
      <c r="G262" s="684">
        <f>SUM(E257:E262)</f>
        <v>28711404</v>
      </c>
      <c r="H262" s="684">
        <f>SUM(F257:F262)</f>
        <v>40246043</v>
      </c>
      <c r="I262" s="686">
        <f>G262-H262</f>
        <v>-11534639</v>
      </c>
      <c r="J262" s="49">
        <v>19031176</v>
      </c>
      <c r="K262" s="584">
        <f>J262+I262</f>
        <v>7496537</v>
      </c>
    </row>
    <row r="263" spans="1:11" ht="12.75">
      <c r="A263" s="74"/>
      <c r="B263" s="585" t="s">
        <v>581</v>
      </c>
      <c r="D263" s="602" t="s">
        <v>588</v>
      </c>
      <c r="E263" s="658">
        <v>12920176</v>
      </c>
      <c r="F263" s="658"/>
      <c r="G263" s="684"/>
      <c r="H263" s="684"/>
      <c r="I263" s="686"/>
      <c r="K263" s="586"/>
    </row>
    <row r="264" spans="1:11" ht="12.75">
      <c r="A264" s="74"/>
      <c r="B264" s="601" t="s">
        <v>61</v>
      </c>
      <c r="D264" s="217" t="s">
        <v>521</v>
      </c>
      <c r="E264" s="658"/>
      <c r="F264" s="658">
        <v>269059</v>
      </c>
      <c r="G264" s="684"/>
      <c r="H264" s="684"/>
      <c r="I264" s="686"/>
      <c r="K264" s="586"/>
    </row>
    <row r="265" spans="1:9" s="216" customFormat="1" ht="12.75">
      <c r="A265" s="220"/>
      <c r="B265" s="195"/>
      <c r="C265" s="158"/>
      <c r="D265" s="217"/>
      <c r="E265" s="223"/>
      <c r="F265" s="223"/>
      <c r="G265" s="685"/>
      <c r="H265" s="686"/>
      <c r="I265" s="686"/>
    </row>
    <row r="266" spans="1:9" s="216" customFormat="1" ht="12.75">
      <c r="A266" s="702" t="s">
        <v>52</v>
      </c>
      <c r="B266" s="703"/>
      <c r="C266" s="704"/>
      <c r="D266" s="705"/>
      <c r="E266" s="670">
        <f>SUM(E251:E265)</f>
        <v>46206201.678</v>
      </c>
      <c r="F266" s="670">
        <f>SUM(F251:F265)</f>
        <v>43513802</v>
      </c>
      <c r="G266" s="685"/>
      <c r="H266" s="686"/>
      <c r="I266" s="686"/>
    </row>
    <row r="267" spans="1:9" s="216" customFormat="1" ht="12.75">
      <c r="A267" s="220"/>
      <c r="B267" s="195"/>
      <c r="C267" s="158"/>
      <c r="D267" s="217"/>
      <c r="E267" s="660"/>
      <c r="F267" s="660"/>
      <c r="G267" s="685"/>
      <c r="H267" s="686"/>
      <c r="I267" s="686"/>
    </row>
    <row r="268" spans="1:9" s="216" customFormat="1" ht="12.75">
      <c r="A268" s="220"/>
      <c r="B268" s="195"/>
      <c r="C268" s="158"/>
      <c r="D268" s="217"/>
      <c r="E268" s="660"/>
      <c r="F268" s="660"/>
      <c r="G268" s="685"/>
      <c r="H268" s="686"/>
      <c r="I268" s="686"/>
    </row>
    <row r="269" spans="1:9" s="216" customFormat="1" ht="12.75">
      <c r="A269" s="218" t="s">
        <v>53</v>
      </c>
      <c r="B269" s="710"/>
      <c r="C269" s="219"/>
      <c r="D269" s="217"/>
      <c r="E269" s="660"/>
      <c r="F269" s="660"/>
      <c r="G269" s="685"/>
      <c r="H269" s="686"/>
      <c r="I269" s="686"/>
    </row>
    <row r="270" spans="1:9" s="216" customFormat="1" ht="12.75">
      <c r="A270" s="213"/>
      <c r="B270" s="214" t="s">
        <v>143</v>
      </c>
      <c r="C270" s="157"/>
      <c r="D270" s="217" t="s">
        <v>25</v>
      </c>
      <c r="E270" s="660">
        <v>6928453</v>
      </c>
      <c r="F270" s="661"/>
      <c r="G270" s="685"/>
      <c r="H270" s="686"/>
      <c r="I270" s="686"/>
    </row>
    <row r="271" spans="1:9" s="216" customFormat="1" ht="12.75">
      <c r="A271" s="213"/>
      <c r="B271" s="214" t="s">
        <v>145</v>
      </c>
      <c r="C271" s="157"/>
      <c r="D271" s="217" t="s">
        <v>144</v>
      </c>
      <c r="E271" s="660"/>
      <c r="F271" s="661">
        <v>3025103</v>
      </c>
      <c r="G271" s="685"/>
      <c r="H271" s="686"/>
      <c r="I271" s="686"/>
    </row>
    <row r="272" spans="1:9" s="216" customFormat="1" ht="12.75">
      <c r="A272" s="221"/>
      <c r="B272" s="193" t="s">
        <v>146</v>
      </c>
      <c r="C272" s="222"/>
      <c r="D272" s="217" t="s">
        <v>147</v>
      </c>
      <c r="E272" s="661"/>
      <c r="F272" s="661">
        <v>259023</v>
      </c>
      <c r="G272" s="685"/>
      <c r="H272" s="686"/>
      <c r="I272" s="686"/>
    </row>
    <row r="273" spans="1:9" s="216" customFormat="1" ht="12.75">
      <c r="A273" s="221"/>
      <c r="B273" s="193" t="s">
        <v>150</v>
      </c>
      <c r="C273" s="222"/>
      <c r="D273" s="217" t="s">
        <v>151</v>
      </c>
      <c r="E273" s="661"/>
      <c r="F273" s="661">
        <v>209379</v>
      </c>
      <c r="G273" s="685"/>
      <c r="H273" s="686"/>
      <c r="I273" s="686"/>
    </row>
    <row r="274" spans="1:7" ht="12.75">
      <c r="A274" s="68"/>
      <c r="B274" s="86" t="s">
        <v>156</v>
      </c>
      <c r="C274" s="70"/>
      <c r="D274" s="66" t="s">
        <v>162</v>
      </c>
      <c r="E274" s="658"/>
      <c r="F274" s="658">
        <v>156134</v>
      </c>
      <c r="G274" s="684"/>
    </row>
    <row r="275" spans="1:7" ht="12.75">
      <c r="A275" s="68"/>
      <c r="B275" s="86" t="s">
        <v>163</v>
      </c>
      <c r="C275" s="70"/>
      <c r="D275" s="66" t="s">
        <v>166</v>
      </c>
      <c r="E275" s="658"/>
      <c r="F275" s="658">
        <v>156134</v>
      </c>
      <c r="G275" s="684"/>
    </row>
    <row r="276" spans="1:7" ht="12.75">
      <c r="A276" s="68"/>
      <c r="B276" s="86" t="s">
        <v>171</v>
      </c>
      <c r="C276" s="70"/>
      <c r="D276" s="66" t="s">
        <v>174</v>
      </c>
      <c r="E276" s="658"/>
      <c r="F276" s="658">
        <v>156134</v>
      </c>
      <c r="G276" s="684"/>
    </row>
    <row r="277" spans="1:7" ht="12.75">
      <c r="A277" s="221"/>
      <c r="B277" s="193" t="s">
        <v>543</v>
      </c>
      <c r="C277" s="222"/>
      <c r="D277" s="217" t="s">
        <v>700</v>
      </c>
      <c r="E277" s="661"/>
      <c r="F277" s="661">
        <v>2243980</v>
      </c>
      <c r="G277" s="684"/>
    </row>
    <row r="278" spans="1:7" ht="12.75">
      <c r="A278" s="221"/>
      <c r="B278" s="193" t="s">
        <v>544</v>
      </c>
      <c r="C278" s="222"/>
      <c r="D278" s="217" t="s">
        <v>705</v>
      </c>
      <c r="E278" s="661"/>
      <c r="F278" s="661">
        <v>722566</v>
      </c>
      <c r="G278" s="684"/>
    </row>
    <row r="279" spans="1:7" ht="12.75">
      <c r="A279" s="68"/>
      <c r="B279" s="61" t="s">
        <v>177</v>
      </c>
      <c r="C279" s="70"/>
      <c r="D279" s="66" t="s">
        <v>176</v>
      </c>
      <c r="E279" s="658">
        <v>596683</v>
      </c>
      <c r="F279" s="658"/>
      <c r="G279" s="684"/>
    </row>
    <row r="280" spans="1:7" ht="12.75">
      <c r="A280" s="68"/>
      <c r="B280" s="61" t="s">
        <v>186</v>
      </c>
      <c r="C280" s="70"/>
      <c r="D280" s="66" t="s">
        <v>184</v>
      </c>
      <c r="E280" s="658"/>
      <c r="F280" s="658">
        <v>71601</v>
      </c>
      <c r="G280" s="684"/>
    </row>
    <row r="281" spans="1:9" s="216" customFormat="1" ht="12.75">
      <c r="A281" s="68"/>
      <c r="B281" s="61" t="s">
        <v>187</v>
      </c>
      <c r="C281" s="70"/>
      <c r="D281" s="66" t="s">
        <v>188</v>
      </c>
      <c r="E281" s="658"/>
      <c r="F281" s="658">
        <v>23867</v>
      </c>
      <c r="G281" s="684"/>
      <c r="H281" s="682"/>
      <c r="I281" s="682"/>
    </row>
    <row r="282" spans="1:9" s="216" customFormat="1" ht="12.75">
      <c r="A282" s="221"/>
      <c r="B282" s="214" t="s">
        <v>546</v>
      </c>
      <c r="C282" s="222"/>
      <c r="D282" s="217" t="s">
        <v>717</v>
      </c>
      <c r="E282" s="661"/>
      <c r="F282" s="661">
        <v>23867</v>
      </c>
      <c r="G282" s="684"/>
      <c r="H282" s="682"/>
      <c r="I282" s="686"/>
    </row>
    <row r="283" spans="1:9" ht="12.75">
      <c r="A283" s="221"/>
      <c r="B283" s="214" t="s">
        <v>1178</v>
      </c>
      <c r="C283" s="222"/>
      <c r="D283" s="217" t="s">
        <v>1171</v>
      </c>
      <c r="E283" s="661"/>
      <c r="F283" s="661">
        <v>477348</v>
      </c>
      <c r="G283" s="684"/>
      <c r="I283" s="686"/>
    </row>
    <row r="284" spans="1:7" ht="12.75">
      <c r="A284" s="221"/>
      <c r="B284" s="193" t="s">
        <v>197</v>
      </c>
      <c r="C284" s="222"/>
      <c r="D284" s="217" t="s">
        <v>191</v>
      </c>
      <c r="E284" s="661">
        <v>1777288</v>
      </c>
      <c r="F284" s="661"/>
      <c r="G284" s="684"/>
    </row>
    <row r="285" spans="1:7" ht="12.75">
      <c r="A285" s="221"/>
      <c r="B285" s="193" t="s">
        <v>196</v>
      </c>
      <c r="C285" s="222"/>
      <c r="D285" s="217" t="s">
        <v>195</v>
      </c>
      <c r="E285" s="661"/>
      <c r="F285" s="661">
        <v>142184</v>
      </c>
      <c r="G285" s="685"/>
    </row>
    <row r="286" spans="1:9" s="216" customFormat="1" ht="12.75">
      <c r="A286" s="221"/>
      <c r="B286" s="193" t="s">
        <v>337</v>
      </c>
      <c r="C286" s="222"/>
      <c r="D286" s="217" t="s">
        <v>330</v>
      </c>
      <c r="E286" s="661"/>
      <c r="F286" s="661">
        <v>71092</v>
      </c>
      <c r="G286" s="685">
        <f>+E270-SUM(F271:F278)</f>
        <v>0</v>
      </c>
      <c r="H286" s="682"/>
      <c r="I286" s="682"/>
    </row>
    <row r="287" spans="1:9" s="216" customFormat="1" ht="12.75">
      <c r="A287" s="221"/>
      <c r="B287" s="193" t="s">
        <v>628</v>
      </c>
      <c r="C287" s="222"/>
      <c r="D287" s="217" t="s">
        <v>1136</v>
      </c>
      <c r="E287" s="661"/>
      <c r="F287" s="661">
        <v>1564012</v>
      </c>
      <c r="G287" s="684"/>
      <c r="H287" s="686"/>
      <c r="I287" s="686"/>
    </row>
    <row r="288" spans="1:9" s="216" customFormat="1" ht="12.75">
      <c r="A288" s="221"/>
      <c r="B288" s="195" t="s">
        <v>228</v>
      </c>
      <c r="C288" s="222"/>
      <c r="D288" s="217" t="s">
        <v>222</v>
      </c>
      <c r="E288" s="661">
        <v>2250002</v>
      </c>
      <c r="F288" s="661"/>
      <c r="G288" s="684"/>
      <c r="H288" s="686"/>
      <c r="I288" s="686"/>
    </row>
    <row r="289" spans="1:9" s="216" customFormat="1" ht="12.75">
      <c r="A289" s="221"/>
      <c r="B289" s="195" t="s">
        <v>339</v>
      </c>
      <c r="C289" s="222"/>
      <c r="D289" s="217" t="s">
        <v>227</v>
      </c>
      <c r="E289" s="661"/>
      <c r="F289" s="661">
        <v>90000</v>
      </c>
      <c r="G289" s="684"/>
      <c r="H289" s="682"/>
      <c r="I289" s="686"/>
    </row>
    <row r="290" spans="1:9" s="216" customFormat="1" ht="12.75">
      <c r="A290" s="221"/>
      <c r="B290" s="195" t="s">
        <v>340</v>
      </c>
      <c r="C290" s="222"/>
      <c r="D290" s="217" t="s">
        <v>332</v>
      </c>
      <c r="E290" s="661"/>
      <c r="F290" s="661">
        <v>90000</v>
      </c>
      <c r="G290" s="685">
        <f>+E279-SUM(F280:F282)</f>
        <v>477348</v>
      </c>
      <c r="H290" s="682"/>
      <c r="I290" s="686"/>
    </row>
    <row r="291" spans="1:9" s="216" customFormat="1" ht="12.75">
      <c r="A291" s="221"/>
      <c r="B291" s="195" t="s">
        <v>629</v>
      </c>
      <c r="C291" s="222"/>
      <c r="D291" s="217" t="s">
        <v>1137</v>
      </c>
      <c r="E291" s="661"/>
      <c r="F291" s="661">
        <v>90000</v>
      </c>
      <c r="G291" s="685"/>
      <c r="H291" s="682"/>
      <c r="I291" s="686"/>
    </row>
    <row r="292" spans="1:9" s="216" customFormat="1" ht="12.75">
      <c r="A292" s="221"/>
      <c r="B292" s="195" t="s">
        <v>1189</v>
      </c>
      <c r="C292" s="222"/>
      <c r="D292" s="217" t="s">
        <v>1181</v>
      </c>
      <c r="E292" s="661"/>
      <c r="F292" s="661">
        <v>1980002</v>
      </c>
      <c r="G292" s="685"/>
      <c r="H292" s="686"/>
      <c r="I292" s="686"/>
    </row>
    <row r="293" spans="1:9" s="216" customFormat="1" ht="12.75">
      <c r="A293" s="221"/>
      <c r="B293" s="195" t="s">
        <v>254</v>
      </c>
      <c r="C293" s="164"/>
      <c r="D293" s="194" t="s">
        <v>253</v>
      </c>
      <c r="E293" s="672">
        <v>2900000</v>
      </c>
      <c r="F293" s="661"/>
      <c r="G293" s="685"/>
      <c r="H293" s="686"/>
      <c r="I293" s="686"/>
    </row>
    <row r="294" spans="1:9" s="216" customFormat="1" ht="12.75">
      <c r="A294" s="221"/>
      <c r="B294" s="195" t="s">
        <v>380</v>
      </c>
      <c r="C294" s="164"/>
      <c r="D294" s="194" t="s">
        <v>375</v>
      </c>
      <c r="E294" s="672"/>
      <c r="F294" s="661">
        <v>116000</v>
      </c>
      <c r="G294" s="685"/>
      <c r="H294" s="686"/>
      <c r="I294" s="686"/>
    </row>
    <row r="295" spans="1:9" s="216" customFormat="1" ht="12.75">
      <c r="A295" s="221"/>
      <c r="B295" s="195" t="s">
        <v>630</v>
      </c>
      <c r="C295" s="164"/>
      <c r="D295" s="194" t="s">
        <v>1138</v>
      </c>
      <c r="E295" s="672"/>
      <c r="F295" s="661">
        <v>116000</v>
      </c>
      <c r="G295" s="685">
        <f>+E284-SUM(F285:F287)</f>
        <v>0</v>
      </c>
      <c r="H295" s="686"/>
      <c r="I295" s="686"/>
    </row>
    <row r="296" spans="1:9" s="216" customFormat="1" ht="12.75">
      <c r="A296" s="221"/>
      <c r="B296" s="195" t="s">
        <v>1190</v>
      </c>
      <c r="C296" s="164"/>
      <c r="D296" s="194" t="s">
        <v>1182</v>
      </c>
      <c r="E296" s="672"/>
      <c r="F296" s="661">
        <v>2668000</v>
      </c>
      <c r="G296" s="685"/>
      <c r="H296" s="686"/>
      <c r="I296" s="686"/>
    </row>
    <row r="297" spans="1:9" s="216" customFormat="1" ht="12.75">
      <c r="A297" s="221"/>
      <c r="B297" s="195" t="s">
        <v>259</v>
      </c>
      <c r="C297" s="222"/>
      <c r="D297" s="217" t="s">
        <v>258</v>
      </c>
      <c r="E297" s="661">
        <v>5802439</v>
      </c>
      <c r="F297" s="661"/>
      <c r="G297" s="685"/>
      <c r="H297" s="686"/>
      <c r="I297" s="686"/>
    </row>
    <row r="298" spans="1:9" s="216" customFormat="1" ht="12.75">
      <c r="A298" s="221"/>
      <c r="B298" s="195" t="s">
        <v>345</v>
      </c>
      <c r="C298" s="222"/>
      <c r="D298" s="217" t="s">
        <v>334</v>
      </c>
      <c r="E298" s="661"/>
      <c r="F298" s="661">
        <v>232098</v>
      </c>
      <c r="G298" s="685"/>
      <c r="H298" s="686"/>
      <c r="I298" s="686"/>
    </row>
    <row r="299" spans="1:9" s="216" customFormat="1" ht="12.75">
      <c r="A299" s="221"/>
      <c r="B299" s="195" t="s">
        <v>631</v>
      </c>
      <c r="C299" s="222"/>
      <c r="D299" s="217" t="s">
        <v>1139</v>
      </c>
      <c r="E299" s="661"/>
      <c r="F299" s="661">
        <v>232098</v>
      </c>
      <c r="G299" s="685">
        <f>+E288-SUM(F289:F291)</f>
        <v>1980002</v>
      </c>
      <c r="H299" s="686"/>
      <c r="I299" s="686"/>
    </row>
    <row r="300" spans="1:9" s="216" customFormat="1" ht="12.75">
      <c r="A300" s="221"/>
      <c r="B300" s="195" t="s">
        <v>1191</v>
      </c>
      <c r="C300" s="222"/>
      <c r="D300" s="217" t="s">
        <v>1183</v>
      </c>
      <c r="E300" s="661"/>
      <c r="F300" s="661">
        <v>5338243</v>
      </c>
      <c r="G300" s="685"/>
      <c r="H300" s="686"/>
      <c r="I300" s="686"/>
    </row>
    <row r="301" spans="1:9" s="216" customFormat="1" ht="12.75">
      <c r="A301" s="221"/>
      <c r="B301" s="195" t="s">
        <v>275</v>
      </c>
      <c r="C301" s="219"/>
      <c r="D301" s="217" t="s">
        <v>274</v>
      </c>
      <c r="E301" s="661">
        <v>105207</v>
      </c>
      <c r="F301" s="661"/>
      <c r="G301" s="685"/>
      <c r="H301" s="686"/>
      <c r="I301" s="686"/>
    </row>
    <row r="302" spans="1:9" s="216" customFormat="1" ht="12.75">
      <c r="A302" s="221"/>
      <c r="B302" s="195" t="s">
        <v>379</v>
      </c>
      <c r="C302" s="219"/>
      <c r="D302" s="217" t="s">
        <v>373</v>
      </c>
      <c r="E302" s="661"/>
      <c r="F302" s="661">
        <v>4208</v>
      </c>
      <c r="G302" s="685"/>
      <c r="H302" s="686"/>
      <c r="I302" s="686"/>
    </row>
    <row r="303" spans="1:9" s="216" customFormat="1" ht="12.75">
      <c r="A303" s="221"/>
      <c r="B303" s="195" t="s">
        <v>632</v>
      </c>
      <c r="C303" s="219"/>
      <c r="D303" s="217" t="s">
        <v>1140</v>
      </c>
      <c r="E303" s="661"/>
      <c r="F303" s="661">
        <v>4208</v>
      </c>
      <c r="G303" s="685">
        <f>+E293-SUM(F294:F295)</f>
        <v>2668000</v>
      </c>
      <c r="H303" s="686"/>
      <c r="I303" s="686"/>
    </row>
    <row r="304" spans="1:9" s="216" customFormat="1" ht="12.75">
      <c r="A304" s="221"/>
      <c r="B304" s="195" t="s">
        <v>1192</v>
      </c>
      <c r="C304" s="219"/>
      <c r="D304" s="217" t="s">
        <v>1184</v>
      </c>
      <c r="E304" s="661"/>
      <c r="F304" s="661">
        <v>96791</v>
      </c>
      <c r="G304" s="685"/>
      <c r="H304" s="686"/>
      <c r="I304" s="686"/>
    </row>
    <row r="305" spans="1:9" s="216" customFormat="1" ht="12.75">
      <c r="A305" s="221"/>
      <c r="B305" s="195" t="s">
        <v>294</v>
      </c>
      <c r="C305" s="219"/>
      <c r="D305" s="217" t="s">
        <v>278</v>
      </c>
      <c r="E305" s="661">
        <v>11000382</v>
      </c>
      <c r="F305" s="661"/>
      <c r="G305" s="685"/>
      <c r="H305" s="686"/>
      <c r="I305" s="686"/>
    </row>
    <row r="306" spans="1:9" s="216" customFormat="1" ht="12.75">
      <c r="A306" s="221"/>
      <c r="B306" s="195" t="s">
        <v>346</v>
      </c>
      <c r="C306" s="219"/>
      <c r="D306" s="217" t="s">
        <v>336</v>
      </c>
      <c r="E306" s="661"/>
      <c r="F306" s="661">
        <v>440015</v>
      </c>
      <c r="G306" s="685"/>
      <c r="H306" s="686"/>
      <c r="I306" s="686"/>
    </row>
    <row r="307" spans="1:9" s="216" customFormat="1" ht="12.75">
      <c r="A307" s="221"/>
      <c r="B307" s="195" t="s">
        <v>633</v>
      </c>
      <c r="C307" s="219"/>
      <c r="D307" s="217" t="s">
        <v>1141</v>
      </c>
      <c r="E307" s="661"/>
      <c r="F307" s="661">
        <v>10560367</v>
      </c>
      <c r="G307" s="685">
        <f>+E297-SUM(F298:F299)</f>
        <v>5338243</v>
      </c>
      <c r="H307" s="686"/>
      <c r="I307" s="686"/>
    </row>
    <row r="308" spans="1:9" s="216" customFormat="1" ht="12.75">
      <c r="A308" s="221"/>
      <c r="B308" s="195" t="s">
        <v>377</v>
      </c>
      <c r="C308" s="219"/>
      <c r="D308" s="217" t="s">
        <v>308</v>
      </c>
      <c r="E308" s="661">
        <v>1002834</v>
      </c>
      <c r="F308" s="661"/>
      <c r="G308" s="685"/>
      <c r="H308" s="686"/>
      <c r="I308" s="686"/>
    </row>
    <row r="309" spans="1:9" s="216" customFormat="1" ht="12.75">
      <c r="A309" s="221"/>
      <c r="B309" s="195" t="s">
        <v>376</v>
      </c>
      <c r="C309" s="219"/>
      <c r="D309" s="217" t="s">
        <v>348</v>
      </c>
      <c r="E309" s="661"/>
      <c r="F309" s="661">
        <v>40113</v>
      </c>
      <c r="G309" s="685"/>
      <c r="H309" s="686"/>
      <c r="I309" s="686"/>
    </row>
    <row r="310" spans="1:9" s="216" customFormat="1" ht="12.75">
      <c r="A310" s="221"/>
      <c r="B310" s="195" t="s">
        <v>550</v>
      </c>
      <c r="C310" s="219"/>
      <c r="D310" s="217" t="s">
        <v>1131</v>
      </c>
      <c r="E310" s="661"/>
      <c r="F310" s="661">
        <v>962721</v>
      </c>
      <c r="G310" s="685"/>
      <c r="H310" s="686"/>
      <c r="I310" s="686"/>
    </row>
    <row r="311" spans="1:9" s="216" customFormat="1" ht="12.75">
      <c r="A311" s="221"/>
      <c r="B311" s="195" t="s">
        <v>314</v>
      </c>
      <c r="C311" s="219"/>
      <c r="D311" s="217" t="s">
        <v>311</v>
      </c>
      <c r="E311" s="661">
        <v>4345965</v>
      </c>
      <c r="F311" s="661"/>
      <c r="G311" s="685">
        <f>+E305-SUM(F306:F307)</f>
        <v>0</v>
      </c>
      <c r="H311" s="686"/>
      <c r="I311" s="686"/>
    </row>
    <row r="312" spans="1:9" s="216" customFormat="1" ht="12.75">
      <c r="A312" s="221"/>
      <c r="B312" s="195" t="s">
        <v>378</v>
      </c>
      <c r="C312" s="219"/>
      <c r="D312" s="217" t="s">
        <v>350</v>
      </c>
      <c r="E312" s="661"/>
      <c r="F312" s="661">
        <v>173839</v>
      </c>
      <c r="G312" s="685"/>
      <c r="H312" s="686"/>
      <c r="I312" s="686"/>
    </row>
    <row r="313" spans="1:9" s="216" customFormat="1" ht="12.75">
      <c r="A313" s="221"/>
      <c r="B313" s="195" t="s">
        <v>634</v>
      </c>
      <c r="C313" s="219"/>
      <c r="D313" s="217" t="s">
        <v>1142</v>
      </c>
      <c r="E313" s="661"/>
      <c r="F313" s="661">
        <v>173839</v>
      </c>
      <c r="G313" s="685"/>
      <c r="H313" s="686"/>
      <c r="I313" s="686"/>
    </row>
    <row r="314" spans="1:9" s="216" customFormat="1" ht="12.75">
      <c r="A314" s="221"/>
      <c r="B314" s="195" t="s">
        <v>1193</v>
      </c>
      <c r="C314" s="219"/>
      <c r="D314" s="217" t="s">
        <v>1185</v>
      </c>
      <c r="E314" s="661"/>
      <c r="F314" s="661">
        <v>3998287</v>
      </c>
      <c r="G314" s="685"/>
      <c r="H314" s="686"/>
      <c r="I314" s="686"/>
    </row>
    <row r="315" spans="1:9" s="216" customFormat="1" ht="12.75">
      <c r="A315" s="221"/>
      <c r="B315" s="195" t="s">
        <v>562</v>
      </c>
      <c r="C315" s="219"/>
      <c r="D315" s="217" t="s">
        <v>1133</v>
      </c>
      <c r="E315" s="661">
        <v>1495449</v>
      </c>
      <c r="F315" s="661"/>
      <c r="G315" s="685">
        <f>+E305-SUM(F306:F307)</f>
        <v>0</v>
      </c>
      <c r="H315" s="686"/>
      <c r="I315" s="686"/>
    </row>
    <row r="316" spans="1:9" s="216" customFormat="1" ht="12.75">
      <c r="A316" s="221"/>
      <c r="B316" s="195" t="s">
        <v>562</v>
      </c>
      <c r="C316" s="219"/>
      <c r="D316" s="217" t="s">
        <v>1134</v>
      </c>
      <c r="E316" s="661"/>
      <c r="F316" s="661">
        <v>119636</v>
      </c>
      <c r="G316" s="685"/>
      <c r="H316" s="686"/>
      <c r="I316" s="686"/>
    </row>
    <row r="317" spans="1:9" s="216" customFormat="1" ht="12.75">
      <c r="A317" s="221"/>
      <c r="B317" s="195" t="s">
        <v>562</v>
      </c>
      <c r="C317" s="219"/>
      <c r="D317" s="217" t="s">
        <v>344</v>
      </c>
      <c r="E317" s="661">
        <f>12816375-3000000</f>
        <v>9816375</v>
      </c>
      <c r="F317" s="661"/>
      <c r="G317" s="685"/>
      <c r="H317" s="686"/>
      <c r="I317" s="686"/>
    </row>
    <row r="318" spans="1:9" s="216" customFormat="1" ht="12.75">
      <c r="A318" s="221"/>
      <c r="B318" s="195" t="s">
        <v>1021</v>
      </c>
      <c r="C318" s="219"/>
      <c r="D318" s="217" t="s">
        <v>1181</v>
      </c>
      <c r="E318" s="661"/>
      <c r="F318" s="661">
        <v>11192188</v>
      </c>
      <c r="G318" s="685">
        <f>+E308-SUM(F309:F310)</f>
        <v>0</v>
      </c>
      <c r="H318" s="686"/>
      <c r="I318" s="686"/>
    </row>
    <row r="319" spans="1:9" s="216" customFormat="1" ht="12.75">
      <c r="A319" s="68"/>
      <c r="B319" s="86"/>
      <c r="C319" s="70"/>
      <c r="D319" s="66"/>
      <c r="E319" s="658"/>
      <c r="F319" s="658"/>
      <c r="G319" s="685"/>
      <c r="H319" s="686"/>
      <c r="I319" s="686"/>
    </row>
    <row r="320" spans="1:9" s="216" customFormat="1" ht="12.75">
      <c r="A320" s="74"/>
      <c r="B320" s="75"/>
      <c r="C320" s="63"/>
      <c r="D320" s="66"/>
      <c r="E320" s="659"/>
      <c r="F320" s="659"/>
      <c r="G320" s="685"/>
      <c r="H320" s="686"/>
      <c r="I320" s="686"/>
    </row>
    <row r="321" spans="1:9" s="216" customFormat="1" ht="12.75">
      <c r="A321" s="76" t="s">
        <v>54</v>
      </c>
      <c r="B321" s="77"/>
      <c r="C321" s="78"/>
      <c r="D321" s="79"/>
      <c r="E321" s="665">
        <f>SUM(E269:E320)</f>
        <v>48021077</v>
      </c>
      <c r="F321" s="665">
        <f>SUM(F269:F320)</f>
        <v>48021077</v>
      </c>
      <c r="G321" s="685"/>
      <c r="H321" s="686"/>
      <c r="I321" s="686"/>
    </row>
    <row r="322" spans="1:9" s="216" customFormat="1" ht="12.75">
      <c r="A322" s="74"/>
      <c r="B322" s="75"/>
      <c r="C322" s="63"/>
      <c r="D322" s="66"/>
      <c r="E322" s="659"/>
      <c r="F322" s="659"/>
      <c r="G322" s="685"/>
      <c r="H322" s="686"/>
      <c r="I322" s="686"/>
    </row>
    <row r="323" spans="1:9" ht="12.75">
      <c r="A323" s="74"/>
      <c r="B323" s="75"/>
      <c r="C323" s="63"/>
      <c r="D323" s="66"/>
      <c r="E323" s="657"/>
      <c r="F323" s="657"/>
      <c r="G323" s="685"/>
      <c r="H323" s="686"/>
      <c r="I323" s="686"/>
    </row>
    <row r="324" spans="1:8" ht="12.75">
      <c r="A324" s="74" t="s">
        <v>55</v>
      </c>
      <c r="B324" s="75"/>
      <c r="C324" s="63"/>
      <c r="D324" s="66"/>
      <c r="E324" s="657"/>
      <c r="F324" s="657"/>
      <c r="G324" s="685">
        <f>+E315-F316</f>
        <v>1375813</v>
      </c>
      <c r="H324" s="686"/>
    </row>
    <row r="325" spans="1:8" ht="12.75">
      <c r="A325" s="74"/>
      <c r="B325" s="75" t="s">
        <v>24</v>
      </c>
      <c r="C325" s="63"/>
      <c r="D325" s="66" t="s">
        <v>25</v>
      </c>
      <c r="E325" s="659">
        <v>52771400</v>
      </c>
      <c r="F325" s="657"/>
      <c r="G325" s="685"/>
      <c r="H325" s="686"/>
    </row>
    <row r="326" spans="1:8" ht="12.75">
      <c r="A326" s="74"/>
      <c r="B326" s="86" t="s">
        <v>148</v>
      </c>
      <c r="C326" s="63"/>
      <c r="D326" s="66" t="s">
        <v>149</v>
      </c>
      <c r="E326" s="657"/>
      <c r="F326" s="659">
        <v>1988444</v>
      </c>
      <c r="G326" s="685"/>
      <c r="H326" s="686"/>
    </row>
    <row r="327" spans="1:8" ht="12.75">
      <c r="A327" s="74"/>
      <c r="B327" s="86" t="s">
        <v>152</v>
      </c>
      <c r="C327" s="63"/>
      <c r="D327" s="66" t="s">
        <v>151</v>
      </c>
      <c r="E327" s="657"/>
      <c r="F327" s="659">
        <v>546430</v>
      </c>
      <c r="G327" s="684"/>
      <c r="H327" s="686"/>
    </row>
    <row r="328" spans="1:8" ht="12.75">
      <c r="A328" s="74"/>
      <c r="B328" s="86" t="s">
        <v>160</v>
      </c>
      <c r="C328" s="63"/>
      <c r="D328" s="66" t="s">
        <v>162</v>
      </c>
      <c r="E328" s="657"/>
      <c r="F328" s="659">
        <v>2619159</v>
      </c>
      <c r="G328" s="684"/>
      <c r="H328" s="686"/>
    </row>
    <row r="329" spans="1:7" ht="12.75">
      <c r="A329" s="74"/>
      <c r="B329" s="86" t="s">
        <v>164</v>
      </c>
      <c r="C329" s="63"/>
      <c r="D329" s="66" t="s">
        <v>166</v>
      </c>
      <c r="E329" s="657"/>
      <c r="F329" s="659">
        <v>738128</v>
      </c>
      <c r="G329" s="684">
        <f>+SUM(G277:G328)</f>
        <v>11839406</v>
      </c>
    </row>
    <row r="330" spans="1:7" ht="12.75">
      <c r="A330" s="74"/>
      <c r="B330" s="86" t="s">
        <v>167</v>
      </c>
      <c r="C330" s="63"/>
      <c r="D330" s="66" t="s">
        <v>170</v>
      </c>
      <c r="E330" s="657"/>
      <c r="F330" s="659">
        <v>1109548</v>
      </c>
      <c r="G330" s="684"/>
    </row>
    <row r="331" spans="1:7" ht="12.75">
      <c r="A331" s="74"/>
      <c r="B331" s="86" t="s">
        <v>172</v>
      </c>
      <c r="C331" s="63"/>
      <c r="D331" s="66" t="s">
        <v>174</v>
      </c>
      <c r="E331" s="657"/>
      <c r="F331" s="659">
        <v>9641335</v>
      </c>
      <c r="G331" s="684"/>
    </row>
    <row r="332" spans="1:7" ht="12.75">
      <c r="A332" s="220"/>
      <c r="B332" s="193" t="s">
        <v>172</v>
      </c>
      <c r="C332" s="158"/>
      <c r="D332" s="217" t="s">
        <v>700</v>
      </c>
      <c r="E332" s="223">
        <v>32718</v>
      </c>
      <c r="F332" s="660"/>
      <c r="G332" s="684"/>
    </row>
    <row r="333" spans="1:7" ht="12.75">
      <c r="A333" s="74"/>
      <c r="B333" s="86" t="s">
        <v>313</v>
      </c>
      <c r="C333" s="63"/>
      <c r="D333" s="87" t="s">
        <v>230</v>
      </c>
      <c r="E333" s="659">
        <v>1388000</v>
      </c>
      <c r="F333" s="659"/>
      <c r="G333" s="684"/>
    </row>
    <row r="334" spans="1:7" ht="12.75">
      <c r="A334" s="220"/>
      <c r="B334" s="193" t="s">
        <v>950</v>
      </c>
      <c r="C334" s="158"/>
      <c r="D334" s="217" t="s">
        <v>943</v>
      </c>
      <c r="E334" s="223"/>
      <c r="F334" s="660">
        <v>6028886</v>
      </c>
      <c r="G334" s="684"/>
    </row>
    <row r="335" spans="1:7" ht="12.75">
      <c r="A335" s="74"/>
      <c r="B335" s="193"/>
      <c r="C335" s="158"/>
      <c r="D335" s="217"/>
      <c r="E335" s="660"/>
      <c r="F335" s="659"/>
      <c r="G335" s="684"/>
    </row>
    <row r="336" spans="1:9" s="216" customFormat="1" ht="12.75">
      <c r="A336" s="74"/>
      <c r="B336" s="75"/>
      <c r="C336" s="63"/>
      <c r="D336" s="66"/>
      <c r="E336" s="659"/>
      <c r="F336" s="657"/>
      <c r="G336" s="684"/>
      <c r="H336" s="682"/>
      <c r="I336" s="682"/>
    </row>
    <row r="337" spans="1:9" ht="12.75">
      <c r="A337" s="76" t="s">
        <v>56</v>
      </c>
      <c r="B337" s="77"/>
      <c r="C337" s="78"/>
      <c r="D337" s="79"/>
      <c r="E337" s="665">
        <f>SUM(E324:E336)</f>
        <v>54192118</v>
      </c>
      <c r="F337" s="665">
        <f>SUM(F324:F336)</f>
        <v>22671930</v>
      </c>
      <c r="G337" s="684"/>
      <c r="I337" s="686"/>
    </row>
    <row r="338" spans="1:9" s="216" customFormat="1" ht="12.75">
      <c r="A338" s="74"/>
      <c r="B338" s="75"/>
      <c r="C338" s="63"/>
      <c r="D338" s="66"/>
      <c r="E338" s="657"/>
      <c r="F338" s="657"/>
      <c r="G338" s="684"/>
      <c r="H338" s="682"/>
      <c r="I338" s="682"/>
    </row>
    <row r="339" spans="1:9" s="216" customFormat="1" ht="12.75">
      <c r="A339" s="220"/>
      <c r="B339" s="195"/>
      <c r="C339" s="158"/>
      <c r="D339" s="217"/>
      <c r="E339" s="679"/>
      <c r="F339" s="679"/>
      <c r="G339" s="685"/>
      <c r="H339" s="686"/>
      <c r="I339" s="686"/>
    </row>
    <row r="340" spans="1:9" s="216" customFormat="1" ht="12.75">
      <c r="A340" s="220"/>
      <c r="B340" s="195"/>
      <c r="C340" s="158"/>
      <c r="D340" s="217"/>
      <c r="E340" s="679"/>
      <c r="F340" s="679"/>
      <c r="G340" s="685"/>
      <c r="H340" s="686"/>
      <c r="I340" s="686"/>
    </row>
    <row r="341" spans="1:9" s="216" customFormat="1" ht="12.75">
      <c r="A341" s="702" t="s">
        <v>590</v>
      </c>
      <c r="B341" s="703"/>
      <c r="C341" s="704"/>
      <c r="D341" s="705"/>
      <c r="E341" s="670">
        <f>SUM(E340:E340)</f>
        <v>0</v>
      </c>
      <c r="F341" s="670">
        <f>SUM(F340:F340)</f>
        <v>0</v>
      </c>
      <c r="G341" s="685"/>
      <c r="H341" s="686"/>
      <c r="I341" s="686"/>
    </row>
    <row r="342" spans="1:8" ht="12.75">
      <c r="A342" s="74"/>
      <c r="B342" s="75"/>
      <c r="C342" s="63"/>
      <c r="D342" s="66"/>
      <c r="E342" s="674"/>
      <c r="F342" s="674"/>
      <c r="G342" s="685"/>
      <c r="H342" s="686"/>
    </row>
    <row r="343" spans="1:9" ht="12.75">
      <c r="A343" s="74" t="s">
        <v>298</v>
      </c>
      <c r="B343" s="75"/>
      <c r="C343" s="63"/>
      <c r="D343" s="66"/>
      <c r="E343" s="657"/>
      <c r="F343" s="657"/>
      <c r="G343" s="684"/>
      <c r="I343" s="686"/>
    </row>
    <row r="344" spans="1:7" ht="12.75">
      <c r="A344" s="56"/>
      <c r="B344" s="75" t="s">
        <v>540</v>
      </c>
      <c r="C344" s="62"/>
      <c r="D344" s="64" t="s">
        <v>278</v>
      </c>
      <c r="E344" s="659"/>
      <c r="F344" s="658">
        <v>2027981</v>
      </c>
      <c r="G344" s="684"/>
    </row>
    <row r="345" spans="1:7" ht="12.75">
      <c r="A345" s="213"/>
      <c r="B345" s="195" t="s">
        <v>540</v>
      </c>
      <c r="C345" s="157"/>
      <c r="D345" s="215" t="s">
        <v>1143</v>
      </c>
      <c r="E345" s="660">
        <v>2027981</v>
      </c>
      <c r="F345" s="661"/>
      <c r="G345" s="685"/>
    </row>
    <row r="346" spans="1:7" ht="12.75">
      <c r="A346" s="56"/>
      <c r="B346" s="75" t="s">
        <v>321</v>
      </c>
      <c r="C346" s="62"/>
      <c r="D346" s="64" t="s">
        <v>322</v>
      </c>
      <c r="E346" s="675">
        <v>0</v>
      </c>
      <c r="F346" s="658"/>
      <c r="G346" s="684"/>
    </row>
    <row r="347" spans="1:8" ht="12.75">
      <c r="A347" s="74"/>
      <c r="B347" s="75"/>
      <c r="C347" s="63"/>
      <c r="D347" s="66"/>
      <c r="E347" s="657"/>
      <c r="F347" s="657"/>
      <c r="G347" s="684"/>
      <c r="H347" s="686"/>
    </row>
    <row r="348" spans="1:7" ht="12.75">
      <c r="A348" s="74"/>
      <c r="B348" s="75"/>
      <c r="C348" s="63"/>
      <c r="D348" s="66"/>
      <c r="E348" s="657"/>
      <c r="F348" s="657"/>
      <c r="G348" s="684"/>
    </row>
    <row r="349" spans="1:9" s="216" customFormat="1" ht="12.75">
      <c r="A349" s="74"/>
      <c r="B349" s="75"/>
      <c r="C349" s="63"/>
      <c r="D349" s="66"/>
      <c r="E349" s="657"/>
      <c r="F349" s="657"/>
      <c r="G349" s="684"/>
      <c r="H349" s="682"/>
      <c r="I349" s="682"/>
    </row>
    <row r="350" spans="1:9" ht="12.75">
      <c r="A350" s="76" t="s">
        <v>299</v>
      </c>
      <c r="B350" s="77"/>
      <c r="C350" s="78"/>
      <c r="D350" s="79"/>
      <c r="E350" s="665">
        <f>SUM(E343:E349)</f>
        <v>2027981</v>
      </c>
      <c r="F350" s="665">
        <f>SUM(F343:F349)</f>
        <v>2027981</v>
      </c>
      <c r="G350" s="684"/>
      <c r="I350" s="686"/>
    </row>
    <row r="351" spans="1:7" ht="12.75">
      <c r="A351" s="74"/>
      <c r="B351" s="75"/>
      <c r="C351" s="63"/>
      <c r="D351" s="66"/>
      <c r="E351" s="657"/>
      <c r="F351" s="657"/>
      <c r="G351" s="684"/>
    </row>
    <row r="352" spans="1:7" ht="12.75">
      <c r="A352" s="74"/>
      <c r="B352" s="75"/>
      <c r="C352" s="63"/>
      <c r="D352" s="66"/>
      <c r="E352" s="657"/>
      <c r="F352" s="657"/>
      <c r="G352" s="684"/>
    </row>
    <row r="353" spans="1:7" ht="12.75">
      <c r="A353" s="357"/>
      <c r="B353" s="358"/>
      <c r="C353" s="359"/>
      <c r="D353" s="360"/>
      <c r="E353" s="666"/>
      <c r="F353" s="666"/>
      <c r="G353" s="685"/>
    </row>
    <row r="354" spans="1:7" ht="12.75">
      <c r="A354" s="56" t="s">
        <v>57</v>
      </c>
      <c r="B354" s="61"/>
      <c r="D354" s="66"/>
      <c r="E354" s="658"/>
      <c r="F354" s="658"/>
      <c r="G354" s="684"/>
    </row>
    <row r="355" spans="1:8" ht="12.75">
      <c r="A355" s="56"/>
      <c r="B355" s="61" t="s">
        <v>58</v>
      </c>
      <c r="C355" s="62"/>
      <c r="D355" s="66"/>
      <c r="E355" s="658"/>
      <c r="F355" s="658"/>
      <c r="G355" s="684"/>
      <c r="H355" s="686"/>
    </row>
    <row r="356" spans="1:7" ht="12.75">
      <c r="A356" s="56"/>
      <c r="B356" s="61"/>
      <c r="C356" s="62" t="s">
        <v>63</v>
      </c>
      <c r="D356" s="65"/>
      <c r="E356" s="659"/>
      <c r="F356" s="658"/>
      <c r="G356" s="684"/>
    </row>
    <row r="357" spans="1:7" ht="12.75">
      <c r="A357" s="56"/>
      <c r="B357" s="61"/>
      <c r="C357" s="62" t="s">
        <v>46</v>
      </c>
      <c r="D357" s="64" t="s">
        <v>534</v>
      </c>
      <c r="E357" s="659"/>
      <c r="F357" s="658"/>
      <c r="G357" s="684"/>
    </row>
    <row r="358" spans="1:7" ht="12.75">
      <c r="A358" s="56"/>
      <c r="B358" s="61" t="s">
        <v>65</v>
      </c>
      <c r="C358" s="62"/>
      <c r="D358" s="64"/>
      <c r="E358" s="658"/>
      <c r="F358" s="659"/>
      <c r="G358" s="684"/>
    </row>
    <row r="359" spans="1:7" ht="12.75">
      <c r="A359" s="56"/>
      <c r="B359" s="61" t="s">
        <v>66</v>
      </c>
      <c r="C359" s="62"/>
      <c r="D359" s="66"/>
      <c r="E359" s="658"/>
      <c r="F359" s="658"/>
      <c r="G359" s="698" t="s">
        <v>825</v>
      </c>
    </row>
    <row r="360" spans="1:7" ht="12.75">
      <c r="A360" s="363"/>
      <c r="B360" s="364" t="s">
        <v>1070</v>
      </c>
      <c r="C360" s="365"/>
      <c r="D360" s="366" t="s">
        <v>64</v>
      </c>
      <c r="E360" s="673">
        <v>-8959.61</v>
      </c>
      <c r="F360" s="669"/>
      <c r="G360" s="698" t="s">
        <v>826</v>
      </c>
    </row>
    <row r="361" spans="1:7" ht="12.75">
      <c r="A361" s="56"/>
      <c r="B361" s="61" t="s">
        <v>386</v>
      </c>
      <c r="C361" s="62"/>
      <c r="D361" s="64" t="s">
        <v>1071</v>
      </c>
      <c r="E361" s="674">
        <f>250</f>
        <v>250</v>
      </c>
      <c r="F361" s="674">
        <f>250+400000</f>
        <v>400250</v>
      </c>
      <c r="G361" s="684"/>
    </row>
    <row r="362" spans="1:7" ht="12.75">
      <c r="A362" s="56"/>
      <c r="B362" s="61" t="s">
        <v>67</v>
      </c>
      <c r="C362" s="62"/>
      <c r="D362" s="64" t="s">
        <v>68</v>
      </c>
      <c r="E362" s="658"/>
      <c r="F362" s="659">
        <f>'Con B&amp;S'!E35</f>
        <v>1091210.4</v>
      </c>
      <c r="G362" s="684"/>
    </row>
    <row r="363" spans="1:7" ht="12.75">
      <c r="A363" s="56"/>
      <c r="B363" s="61" t="s">
        <v>69</v>
      </c>
      <c r="C363" s="62"/>
      <c r="D363" s="205" t="s">
        <v>522</v>
      </c>
      <c r="E363" s="658">
        <f>107129797+4219383+205000+34000000+1673913+250208-1000008+13608560+1001572+1199046+145834+6863601+217192794-1000687-385107</f>
        <v>385103906</v>
      </c>
      <c r="F363" s="676">
        <f>'Con B&amp;S'!E36+E363</f>
        <v>542655735.75</v>
      </c>
      <c r="G363" s="684"/>
    </row>
    <row r="364" spans="1:9" s="216" customFormat="1" ht="12.75">
      <c r="A364" s="56"/>
      <c r="B364" s="61" t="s">
        <v>70</v>
      </c>
      <c r="C364" s="62"/>
      <c r="D364" s="64" t="s">
        <v>68</v>
      </c>
      <c r="E364" s="658"/>
      <c r="F364" s="659">
        <f>'Con B&amp;S'!E37</f>
        <v>822682.8</v>
      </c>
      <c r="G364" s="685"/>
      <c r="H364" s="682"/>
      <c r="I364" s="682"/>
    </row>
    <row r="365" spans="1:9" ht="12.75">
      <c r="A365" s="56"/>
      <c r="B365" s="41" t="s">
        <v>758</v>
      </c>
      <c r="C365" s="62"/>
      <c r="D365" s="205"/>
      <c r="E365" s="658"/>
      <c r="F365" s="659"/>
      <c r="G365" s="684"/>
      <c r="I365" s="686"/>
    </row>
    <row r="366" spans="1:8" ht="13.5" thickBot="1">
      <c r="A366" s="74"/>
      <c r="B366" s="75"/>
      <c r="C366" s="63"/>
      <c r="D366" s="66"/>
      <c r="E366" s="677"/>
      <c r="F366" s="677"/>
      <c r="H366" s="686"/>
    </row>
    <row r="367" spans="1:7" ht="13.5" thickTop="1">
      <c r="A367" s="74"/>
      <c r="B367" s="75"/>
      <c r="C367" s="63"/>
      <c r="D367" s="66"/>
      <c r="E367" s="658"/>
      <c r="F367" s="658"/>
      <c r="G367" s="706">
        <f>+'Con B&amp;S'!F69</f>
        <v>0</v>
      </c>
    </row>
    <row r="368" spans="1:7" ht="12.75">
      <c r="A368" s="56" t="s">
        <v>71</v>
      </c>
      <c r="B368" s="61"/>
      <c r="C368" s="62"/>
      <c r="D368" s="66"/>
      <c r="E368" s="658"/>
      <c r="F368" s="658"/>
      <c r="G368" s="684"/>
    </row>
    <row r="369" spans="1:7" ht="12.75">
      <c r="A369" s="56"/>
      <c r="B369" s="61" t="s">
        <v>72</v>
      </c>
      <c r="C369" s="62"/>
      <c r="D369" s="64"/>
      <c r="E369" s="658"/>
      <c r="F369" s="667" t="s">
        <v>9</v>
      </c>
      <c r="G369" s="684"/>
    </row>
    <row r="370" spans="1:6" ht="12.75">
      <c r="A370" s="56"/>
      <c r="B370" s="61" t="s">
        <v>73</v>
      </c>
      <c r="C370" s="62"/>
      <c r="D370" s="64"/>
      <c r="E370" s="667" t="s">
        <v>9</v>
      </c>
      <c r="F370" s="658"/>
    </row>
    <row r="371" spans="1:7" ht="12.75">
      <c r="A371" s="161"/>
      <c r="B371" s="162" t="s">
        <v>74</v>
      </c>
      <c r="C371" s="154"/>
      <c r="D371" s="163" t="s">
        <v>1214</v>
      </c>
      <c r="E371" s="664">
        <v>1514951</v>
      </c>
      <c r="F371" s="664">
        <v>1514951</v>
      </c>
      <c r="G371" s="684"/>
    </row>
    <row r="372" spans="1:7" ht="12.75">
      <c r="A372" s="56"/>
      <c r="B372" s="61" t="s">
        <v>75</v>
      </c>
      <c r="C372" s="62"/>
      <c r="D372" s="65" t="s">
        <v>533</v>
      </c>
      <c r="E372" s="659">
        <v>5020000</v>
      </c>
      <c r="F372" s="659"/>
      <c r="G372" s="684"/>
    </row>
    <row r="373" spans="1:7" ht="12.75">
      <c r="A373" s="56"/>
      <c r="B373" s="61" t="s">
        <v>76</v>
      </c>
      <c r="C373" s="62"/>
      <c r="D373" s="64" t="s">
        <v>68</v>
      </c>
      <c r="E373" s="659">
        <f>'Con B&amp;S'!E52</f>
        <v>535458382.44</v>
      </c>
      <c r="F373" s="658"/>
      <c r="G373" s="684"/>
    </row>
    <row r="374" spans="1:6" ht="12.75">
      <c r="A374" s="56"/>
      <c r="B374" s="61" t="s">
        <v>77</v>
      </c>
      <c r="C374" s="62"/>
      <c r="D374" s="64" t="s">
        <v>68</v>
      </c>
      <c r="E374" s="658">
        <f>'Con B&amp;S'!E54</f>
        <v>391878</v>
      </c>
      <c r="F374" s="658"/>
    </row>
    <row r="375" spans="1:7" ht="12.75">
      <c r="A375" s="56"/>
      <c r="B375" s="61" t="s">
        <v>78</v>
      </c>
      <c r="C375" s="62"/>
      <c r="D375" s="64" t="s">
        <v>68</v>
      </c>
      <c r="E375" s="659">
        <f>'Con B&amp;S'!E55</f>
        <v>8728325.950000001</v>
      </c>
      <c r="F375" s="658"/>
      <c r="G375" s="684"/>
    </row>
    <row r="376" spans="1:7" ht="12.75">
      <c r="A376" s="56"/>
      <c r="B376" s="41" t="s">
        <v>759</v>
      </c>
      <c r="C376" s="62"/>
      <c r="D376" s="64"/>
      <c r="E376" s="658"/>
      <c r="F376" s="658"/>
      <c r="G376" s="684"/>
    </row>
    <row r="377" spans="1:7" ht="12.75">
      <c r="A377" s="56"/>
      <c r="B377" s="61" t="s">
        <v>79</v>
      </c>
      <c r="C377" s="62"/>
      <c r="D377" s="64"/>
      <c r="E377" s="658"/>
      <c r="F377" s="658"/>
      <c r="G377" s="684"/>
    </row>
    <row r="378" spans="1:7" ht="12.75">
      <c r="A378" s="74"/>
      <c r="B378" s="75"/>
      <c r="C378" s="63"/>
      <c r="D378" s="66"/>
      <c r="E378" s="658"/>
      <c r="F378" s="658"/>
      <c r="G378" s="684"/>
    </row>
    <row r="379" spans="1:7" ht="12.75">
      <c r="A379" s="74"/>
      <c r="B379" s="75"/>
      <c r="C379" s="63"/>
      <c r="D379" s="66"/>
      <c r="E379" s="659">
        <f>SUM(E362:E377)</f>
        <v>936217443.3900001</v>
      </c>
      <c r="F379" s="659">
        <f>SUM(F362:F377)</f>
        <v>546084579.9499999</v>
      </c>
      <c r="G379" s="684"/>
    </row>
    <row r="380" spans="1:7" ht="13.5" thickBot="1">
      <c r="A380" s="74"/>
      <c r="B380" s="75"/>
      <c r="C380" s="63"/>
      <c r="D380" s="66"/>
      <c r="E380" s="677"/>
      <c r="F380" s="677"/>
      <c r="G380" s="684"/>
    </row>
    <row r="381" spans="1:7" ht="13.5" thickTop="1">
      <c r="A381" s="74"/>
      <c r="B381" s="75"/>
      <c r="C381" s="63"/>
      <c r="D381" s="66"/>
      <c r="E381" s="658"/>
      <c r="F381" s="658"/>
      <c r="G381" s="684"/>
    </row>
    <row r="382" spans="1:7" ht="12.75">
      <c r="A382" s="56" t="s">
        <v>80</v>
      </c>
      <c r="B382" s="61"/>
      <c r="C382" s="62"/>
      <c r="D382" s="67"/>
      <c r="E382" s="658"/>
      <c r="F382" s="659"/>
      <c r="G382" s="684"/>
    </row>
    <row r="383" spans="1:7" ht="12.75">
      <c r="A383" s="74"/>
      <c r="B383" s="75"/>
      <c r="C383" s="63"/>
      <c r="D383" s="66"/>
      <c r="E383" s="658"/>
      <c r="F383" s="658"/>
      <c r="G383" s="684"/>
    </row>
    <row r="384" spans="1:7" ht="12.75">
      <c r="A384" s="56" t="s">
        <v>91</v>
      </c>
      <c r="B384" s="61"/>
      <c r="C384" s="62"/>
      <c r="D384" s="64" t="s">
        <v>1206</v>
      </c>
      <c r="E384" s="658">
        <v>600000</v>
      </c>
      <c r="F384" s="658">
        <v>200000</v>
      </c>
      <c r="G384" s="684"/>
    </row>
    <row r="385" spans="1:7" ht="13.5" thickBot="1">
      <c r="A385" s="80"/>
      <c r="B385" s="81"/>
      <c r="C385" s="82"/>
      <c r="D385" s="83"/>
      <c r="E385" s="678"/>
      <c r="F385" s="678"/>
      <c r="G385" s="684"/>
    </row>
    <row r="386" spans="1:7" ht="13.5" thickTop="1">
      <c r="A386" s="84"/>
      <c r="B386" s="84"/>
      <c r="C386" s="84"/>
      <c r="D386" s="84"/>
      <c r="E386" s="84"/>
      <c r="F386" s="84"/>
      <c r="G386" s="684"/>
    </row>
    <row r="387" spans="4:7" ht="12.75">
      <c r="D387" s="264" t="s">
        <v>528</v>
      </c>
      <c r="E387" s="263" t="s">
        <v>529</v>
      </c>
      <c r="G387" s="683">
        <f>F379-E379</f>
        <v>-390132863.4400002</v>
      </c>
    </row>
    <row r="388" spans="4:7" ht="12.75">
      <c r="D388" s="264" t="s">
        <v>68</v>
      </c>
      <c r="E388" s="263" t="s">
        <v>530</v>
      </c>
      <c r="G388" s="684">
        <f>G387-'Con B&amp;S'!H72</f>
        <v>-390132863.43800056</v>
      </c>
    </row>
    <row r="389" spans="4:7" ht="12.75">
      <c r="D389" s="264" t="s">
        <v>64</v>
      </c>
      <c r="E389" s="263" t="s">
        <v>531</v>
      </c>
      <c r="G389" s="684"/>
    </row>
    <row r="390" spans="4:7" ht="12.75">
      <c r="D390" s="264" t="s">
        <v>534</v>
      </c>
      <c r="E390" s="263" t="s">
        <v>532</v>
      </c>
      <c r="G390" s="684"/>
    </row>
    <row r="391" ht="12.75">
      <c r="G391" s="684"/>
    </row>
    <row r="392" ht="12.75">
      <c r="G392" s="684"/>
    </row>
    <row r="393" ht="12.75">
      <c r="G393" s="684"/>
    </row>
    <row r="394" ht="12.75">
      <c r="G394" s="684"/>
    </row>
  </sheetData>
  <printOptions/>
  <pageMargins left="0.75" right="0.75" top="0.75" bottom="0.75" header="0.25" footer="0.25"/>
  <pageSetup horizontalDpi="600" verticalDpi="600" orientation="portrait" paperSize="9" scale="75" r:id="rId1"/>
  <headerFooter alignWithMargins="0">
    <oddFooter>&amp;L&amp;"Times New Roman,Regular"&amp;8&amp;F   &amp;A&amp;C&amp;"Times New Roman,Regular"&amp;8&amp;P&amp;R&amp;"Times New Roman,Regular"&amp;8&amp;D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1"/>
  <sheetViews>
    <sheetView showGridLines="0" zoomScale="75" zoomScaleNormal="75" workbookViewId="0" topLeftCell="A10">
      <selection activeCell="D22" sqref="D22"/>
    </sheetView>
  </sheetViews>
  <sheetFormatPr defaultColWidth="9.140625" defaultRowHeight="12.75"/>
  <cols>
    <col min="1" max="2" width="2.7109375" style="191" customWidth="1"/>
    <col min="3" max="3" width="50.7109375" style="191" customWidth="1"/>
    <col min="4" max="6" width="12.7109375" style="191" customWidth="1"/>
    <col min="7" max="7" width="13.00390625" style="85" bestFit="1" customWidth="1"/>
    <col min="8" max="8" width="17.00390625" style="85" bestFit="1" customWidth="1"/>
    <col min="9" max="10" width="11.00390625" style="85" bestFit="1" customWidth="1"/>
    <col min="11" max="16384" width="8.8515625" style="85" customWidth="1"/>
  </cols>
  <sheetData>
    <row r="1" spans="1:6" ht="15.75">
      <c r="A1" s="224" t="s">
        <v>1383</v>
      </c>
      <c r="B1" s="224"/>
      <c r="C1" s="224"/>
      <c r="D1" s="225"/>
      <c r="E1" s="225"/>
      <c r="F1" s="225"/>
    </row>
    <row r="2" spans="1:6" ht="15.75">
      <c r="A2" s="224" t="s">
        <v>113</v>
      </c>
      <c r="B2" s="224"/>
      <c r="C2" s="224"/>
      <c r="D2" s="225"/>
      <c r="E2" s="145"/>
      <c r="F2" s="225"/>
    </row>
    <row r="3" spans="1:6" ht="15.75">
      <c r="A3" s="226" t="str">
        <f>+'Con P&amp;L'!A3</f>
        <v>For the Period from 1st July 1999 to  30th September 2000</v>
      </c>
      <c r="B3" s="226"/>
      <c r="C3" s="226"/>
      <c r="D3" s="225"/>
      <c r="E3" s="225"/>
      <c r="F3" s="225"/>
    </row>
    <row r="4" spans="1:6" ht="12.75">
      <c r="A4" s="227"/>
      <c r="B4" s="227"/>
      <c r="C4" s="227"/>
      <c r="D4" s="227"/>
      <c r="E4" s="227"/>
      <c r="F4" s="227"/>
    </row>
    <row r="5" spans="1:6" ht="12.75">
      <c r="A5" s="228" t="s">
        <v>114</v>
      </c>
      <c r="B5" s="229"/>
      <c r="C5" s="229"/>
      <c r="D5" s="230" t="s">
        <v>16</v>
      </c>
      <c r="E5" s="231" t="s">
        <v>1428</v>
      </c>
      <c r="F5" s="231" t="s">
        <v>1429</v>
      </c>
    </row>
    <row r="6" spans="1:6" ht="12.75">
      <c r="A6" s="232"/>
      <c r="B6" s="233"/>
      <c r="C6" s="234"/>
      <c r="D6" s="235"/>
      <c r="E6" s="235"/>
      <c r="F6" s="235"/>
    </row>
    <row r="7" spans="1:6" ht="12.75">
      <c r="A7" s="192" t="s">
        <v>1155</v>
      </c>
      <c r="B7" s="193"/>
      <c r="C7" s="164"/>
      <c r="D7" s="235"/>
      <c r="E7" s="235"/>
      <c r="F7" s="235"/>
    </row>
    <row r="8" spans="1:6" ht="12.75">
      <c r="A8" s="192"/>
      <c r="B8" s="193"/>
      <c r="C8" s="164"/>
      <c r="D8" s="235"/>
      <c r="E8" s="235"/>
      <c r="F8" s="235"/>
    </row>
    <row r="9" spans="1:6" ht="12.75">
      <c r="A9" s="192"/>
      <c r="B9" s="193"/>
      <c r="C9" s="237"/>
      <c r="D9" s="235"/>
      <c r="E9" s="235"/>
      <c r="F9" s="299">
        <v>0</v>
      </c>
    </row>
    <row r="10" spans="1:6" ht="12.75">
      <c r="A10" s="192"/>
      <c r="B10" s="193"/>
      <c r="C10" s="164"/>
      <c r="D10" s="235"/>
      <c r="E10" s="235"/>
      <c r="F10" s="235"/>
    </row>
    <row r="11" spans="1:6" ht="12.75">
      <c r="A11" s="192"/>
      <c r="B11" s="193"/>
      <c r="C11" s="164"/>
      <c r="D11" s="235"/>
      <c r="E11" s="295">
        <v>0</v>
      </c>
      <c r="F11" s="295">
        <v>0</v>
      </c>
    </row>
    <row r="12" spans="1:6" ht="12.75">
      <c r="A12" s="192"/>
      <c r="B12" s="193"/>
      <c r="C12" s="164"/>
      <c r="D12" s="235"/>
      <c r="E12" s="235"/>
      <c r="F12" s="235"/>
    </row>
    <row r="13" spans="1:6" ht="12.75">
      <c r="A13" s="192" t="s">
        <v>115</v>
      </c>
      <c r="B13" s="193"/>
      <c r="C13" s="164"/>
      <c r="D13" s="168"/>
      <c r="E13" s="168"/>
      <c r="F13" s="168"/>
    </row>
    <row r="14" spans="1:6" ht="12.75">
      <c r="A14" s="192"/>
      <c r="B14" s="193" t="s">
        <v>116</v>
      </c>
      <c r="C14" s="164"/>
      <c r="D14" s="194"/>
      <c r="E14" s="164"/>
      <c r="F14" s="168"/>
    </row>
    <row r="15" spans="1:6" ht="12.75">
      <c r="A15" s="192"/>
      <c r="B15" s="193" t="s">
        <v>117</v>
      </c>
      <c r="C15" s="164"/>
      <c r="D15" s="194" t="s">
        <v>534</v>
      </c>
      <c r="E15" s="168"/>
      <c r="F15" s="164"/>
    </row>
    <row r="16" spans="1:6" ht="12.75">
      <c r="A16" s="192"/>
      <c r="B16" s="193" t="s">
        <v>120</v>
      </c>
      <c r="C16" s="164"/>
      <c r="D16" s="169"/>
      <c r="E16" s="168"/>
      <c r="F16" s="168"/>
    </row>
    <row r="17" spans="1:6" ht="12.75">
      <c r="A17" s="192"/>
      <c r="B17" s="193" t="s">
        <v>121</v>
      </c>
      <c r="C17" s="164"/>
      <c r="D17" s="169"/>
      <c r="E17" s="168"/>
      <c r="F17" s="168"/>
    </row>
    <row r="18" spans="1:6" ht="12.75">
      <c r="A18" s="192"/>
      <c r="B18" s="193" t="s">
        <v>682</v>
      </c>
      <c r="C18" s="164"/>
      <c r="D18" s="169"/>
      <c r="E18" s="168"/>
      <c r="F18" s="168"/>
    </row>
    <row r="19" spans="1:6" ht="12.75">
      <c r="A19" s="236"/>
      <c r="B19" s="193" t="s">
        <v>225</v>
      </c>
      <c r="C19" s="237"/>
      <c r="D19" s="169"/>
      <c r="E19" s="168"/>
      <c r="F19" s="168"/>
    </row>
    <row r="20" spans="1:6" ht="12.75">
      <c r="A20" s="166"/>
      <c r="B20" s="167" t="s">
        <v>315</v>
      </c>
      <c r="C20" s="168"/>
      <c r="D20" s="169" t="s">
        <v>534</v>
      </c>
      <c r="E20" s="168"/>
      <c r="F20" s="168"/>
    </row>
    <row r="21" spans="1:6" ht="12.75">
      <c r="A21" s="166"/>
      <c r="B21" s="167" t="s">
        <v>551</v>
      </c>
      <c r="C21" s="168"/>
      <c r="D21" s="169"/>
      <c r="E21" s="168"/>
      <c r="F21" s="168"/>
    </row>
    <row r="22" spans="1:6" ht="12.75">
      <c r="A22" s="166"/>
      <c r="B22" s="167" t="s">
        <v>645</v>
      </c>
      <c r="C22" s="168"/>
      <c r="D22" s="169" t="s">
        <v>118</v>
      </c>
      <c r="E22" s="168">
        <v>12523001</v>
      </c>
      <c r="F22" s="168"/>
    </row>
    <row r="23" spans="1:6" ht="12.75">
      <c r="A23" s="172"/>
      <c r="B23" s="167" t="s">
        <v>642</v>
      </c>
      <c r="C23" s="238"/>
      <c r="D23" s="173"/>
      <c r="E23" s="168"/>
      <c r="F23" s="168"/>
    </row>
    <row r="24" spans="1:6" ht="12.75">
      <c r="A24" s="166"/>
      <c r="B24" s="167"/>
      <c r="C24" s="167"/>
      <c r="D24" s="239"/>
      <c r="E24" s="235"/>
      <c r="F24" s="235"/>
    </row>
    <row r="25" spans="1:6" ht="12.75">
      <c r="A25" s="240" t="s">
        <v>122</v>
      </c>
      <c r="B25" s="241"/>
      <c r="C25" s="242"/>
      <c r="D25" s="243"/>
      <c r="E25" s="229">
        <f>SUM(E13:E24)</f>
        <v>12523001</v>
      </c>
      <c r="F25" s="229">
        <f>SUM(F13:F24)</f>
        <v>0</v>
      </c>
    </row>
    <row r="26" spans="1:6" ht="12.75">
      <c r="A26" s="266"/>
      <c r="B26" s="267"/>
      <c r="C26" s="268"/>
      <c r="D26" s="169"/>
      <c r="E26" s="164"/>
      <c r="F26" s="164"/>
    </row>
    <row r="27" spans="1:6" ht="12.75">
      <c r="A27" s="266"/>
      <c r="B27" s="267"/>
      <c r="C27" s="268"/>
      <c r="D27" s="169"/>
      <c r="E27" s="164"/>
      <c r="F27" s="164"/>
    </row>
    <row r="28" spans="1:6" ht="12.75">
      <c r="A28" s="266" t="s">
        <v>1115</v>
      </c>
      <c r="B28" s="267"/>
      <c r="C28" s="268"/>
      <c r="D28" s="169"/>
      <c r="E28" s="164"/>
      <c r="F28" s="164"/>
    </row>
    <row r="29" spans="1:6" ht="12.75">
      <c r="A29" s="266"/>
      <c r="B29" s="267"/>
      <c r="C29" s="268"/>
      <c r="D29" s="169"/>
      <c r="E29" s="164"/>
      <c r="F29" s="164"/>
    </row>
    <row r="30" spans="1:6" ht="12.75">
      <c r="A30" s="266"/>
      <c r="B30" s="267"/>
      <c r="C30" s="268"/>
      <c r="D30" s="169"/>
      <c r="E30" s="164"/>
      <c r="F30" s="164"/>
    </row>
    <row r="31" spans="1:6" ht="12.75">
      <c r="A31" s="240" t="s">
        <v>1114</v>
      </c>
      <c r="B31" s="241"/>
      <c r="C31" s="242"/>
      <c r="D31" s="243"/>
      <c r="E31" s="229">
        <f>SUM(E28:E30)</f>
        <v>0</v>
      </c>
      <c r="F31" s="229">
        <f>SUM(F28:F30)</f>
        <v>0</v>
      </c>
    </row>
    <row r="32" spans="1:6" ht="12.75">
      <c r="A32" s="266"/>
      <c r="B32" s="267"/>
      <c r="C32" s="268"/>
      <c r="D32" s="169"/>
      <c r="E32" s="164"/>
      <c r="F32" s="164"/>
    </row>
    <row r="33" spans="1:6" ht="12.75">
      <c r="A33" s="166"/>
      <c r="B33" s="167"/>
      <c r="C33" s="168"/>
      <c r="D33" s="169"/>
      <c r="E33" s="168"/>
      <c r="F33" s="168"/>
    </row>
    <row r="34" spans="1:6" ht="12.75">
      <c r="A34" s="192" t="s">
        <v>123</v>
      </c>
      <c r="B34" s="193"/>
      <c r="C34" s="164"/>
      <c r="D34" s="169"/>
      <c r="E34" s="168"/>
      <c r="F34" s="168"/>
    </row>
    <row r="35" spans="1:8" ht="12.75">
      <c r="A35" s="192"/>
      <c r="B35" s="193"/>
      <c r="C35" s="164" t="s">
        <v>300</v>
      </c>
      <c r="D35" s="169"/>
      <c r="E35" s="718"/>
      <c r="F35" s="718"/>
      <c r="H35" s="203" t="s">
        <v>843</v>
      </c>
    </row>
    <row r="36" spans="1:9" ht="12.75">
      <c r="A36" s="192"/>
      <c r="B36" s="193"/>
      <c r="C36" s="164" t="s">
        <v>1384</v>
      </c>
      <c r="D36" s="245"/>
      <c r="E36" s="718"/>
      <c r="F36" s="718"/>
      <c r="H36" s="203" t="s">
        <v>842</v>
      </c>
      <c r="I36" s="85">
        <v>9530560.71</v>
      </c>
    </row>
    <row r="37" spans="1:9" ht="12.75">
      <c r="A37" s="192"/>
      <c r="B37" s="193"/>
      <c r="C37" s="164"/>
      <c r="D37" s="169"/>
      <c r="E37" s="168"/>
      <c r="F37" s="168"/>
      <c r="H37" s="203" t="s">
        <v>844</v>
      </c>
      <c r="I37" s="85">
        <v>1488707.32</v>
      </c>
    </row>
    <row r="38" spans="1:9" ht="12.75">
      <c r="A38" s="166"/>
      <c r="B38" s="167"/>
      <c r="C38" s="168"/>
      <c r="D38" s="169"/>
      <c r="E38" s="235"/>
      <c r="F38" s="235"/>
      <c r="H38" s="203" t="s">
        <v>845</v>
      </c>
      <c r="I38" s="85">
        <f>+I36-I37</f>
        <v>8041853.390000001</v>
      </c>
    </row>
    <row r="39" spans="1:9" ht="12.75">
      <c r="A39" s="240" t="s">
        <v>124</v>
      </c>
      <c r="B39" s="241"/>
      <c r="C39" s="242"/>
      <c r="D39" s="243"/>
      <c r="E39" s="229">
        <f>SUM(E34:E38)</f>
        <v>0</v>
      </c>
      <c r="F39" s="229">
        <f>SUM(F34:F38)</f>
        <v>0</v>
      </c>
      <c r="H39" s="203" t="s">
        <v>135</v>
      </c>
      <c r="I39" s="85">
        <v>6877000</v>
      </c>
    </row>
    <row r="40" spans="1:9" ht="12.75">
      <c r="A40" s="166"/>
      <c r="B40" s="167"/>
      <c r="C40" s="168"/>
      <c r="D40" s="169"/>
      <c r="E40" s="235"/>
      <c r="F40" s="235"/>
      <c r="H40" s="203" t="s">
        <v>136</v>
      </c>
      <c r="I40" s="85">
        <f>+I38+I39</f>
        <v>14918853.39</v>
      </c>
    </row>
    <row r="41" spans="1:9" ht="12.75">
      <c r="A41" s="166"/>
      <c r="B41" s="167"/>
      <c r="C41" s="168"/>
      <c r="D41" s="169"/>
      <c r="E41" s="168"/>
      <c r="F41" s="168"/>
      <c r="H41" s="203" t="s">
        <v>137</v>
      </c>
      <c r="I41" s="85">
        <f>0.2*I40</f>
        <v>2983770.6780000003</v>
      </c>
    </row>
    <row r="42" spans="1:8" ht="12.75">
      <c r="A42" s="192" t="s">
        <v>125</v>
      </c>
      <c r="B42" s="193"/>
      <c r="C42" s="164"/>
      <c r="D42" s="169"/>
      <c r="E42" s="168"/>
      <c r="F42" s="168"/>
      <c r="H42" s="203" t="s">
        <v>60</v>
      </c>
    </row>
    <row r="43" spans="1:9" ht="12.75">
      <c r="A43" s="192"/>
      <c r="B43" s="193" t="s">
        <v>116</v>
      </c>
      <c r="C43" s="164"/>
      <c r="D43" s="194"/>
      <c r="E43" s="168"/>
      <c r="F43" s="168"/>
      <c r="I43" s="85">
        <v>-833000</v>
      </c>
    </row>
    <row r="44" spans="1:9" ht="12.75">
      <c r="A44" s="166"/>
      <c r="B44" s="167" t="s">
        <v>316</v>
      </c>
      <c r="C44" s="168"/>
      <c r="D44" s="169"/>
      <c r="E44" s="168"/>
      <c r="F44" s="168"/>
      <c r="I44" s="85">
        <f>0.323*I43</f>
        <v>-269059</v>
      </c>
    </row>
    <row r="45" spans="1:6" ht="12.75">
      <c r="A45" s="166"/>
      <c r="B45" s="167"/>
      <c r="C45" s="168"/>
      <c r="D45" s="194"/>
      <c r="E45" s="235"/>
      <c r="F45" s="235"/>
    </row>
    <row r="46" spans="1:6" ht="12.75">
      <c r="A46" s="240" t="s">
        <v>126</v>
      </c>
      <c r="B46" s="241"/>
      <c r="C46" s="242"/>
      <c r="D46" s="243"/>
      <c r="E46" s="229">
        <f>SUM(E42:E44)</f>
        <v>0</v>
      </c>
      <c r="F46" s="229">
        <f>SUM(F42:F44)</f>
        <v>0</v>
      </c>
    </row>
    <row r="47" spans="1:6" ht="12.75">
      <c r="A47" s="166"/>
      <c r="B47" s="167"/>
      <c r="C47" s="168"/>
      <c r="D47" s="169"/>
      <c r="E47" s="235"/>
      <c r="F47" s="235"/>
    </row>
    <row r="48" spans="1:6" ht="12.75">
      <c r="A48" s="166"/>
      <c r="B48" s="167"/>
      <c r="C48" s="168"/>
      <c r="D48" s="169"/>
      <c r="E48" s="168"/>
      <c r="F48" s="168"/>
    </row>
    <row r="49" spans="1:6" ht="12.75">
      <c r="A49" s="192" t="s">
        <v>127</v>
      </c>
      <c r="B49" s="193"/>
      <c r="C49" s="164"/>
      <c r="D49" s="169"/>
      <c r="E49" s="168"/>
      <c r="F49" s="168"/>
    </row>
    <row r="50" spans="1:6" ht="12.75">
      <c r="A50" s="192"/>
      <c r="B50" s="193" t="s">
        <v>128</v>
      </c>
      <c r="C50" s="164"/>
      <c r="D50" s="194"/>
      <c r="E50" s="164"/>
      <c r="F50" s="164"/>
    </row>
    <row r="51" spans="1:6" ht="12.75">
      <c r="A51" s="192"/>
      <c r="B51" s="193"/>
      <c r="C51" s="164" t="s">
        <v>636</v>
      </c>
      <c r="D51" s="194"/>
      <c r="E51" s="164">
        <f>IF('Con P&amp;L'!$BI$52&gt;0,'Con P&amp;L'!$BI$52,0)</f>
        <v>0</v>
      </c>
      <c r="F51" s="164">
        <f>IF('Con P&amp;L'!$BI$52&lt;0,-'Con P&amp;L'!$BI$52,0)</f>
        <v>0</v>
      </c>
    </row>
    <row r="52" spans="1:6" ht="12.75">
      <c r="A52" s="192"/>
      <c r="B52" s="193"/>
      <c r="C52" s="164" t="s">
        <v>637</v>
      </c>
      <c r="D52" s="194"/>
      <c r="E52" s="164">
        <f>IF('Con P&amp;L'!$BI$52&gt;0,'Con P&amp;L'!$BI$52,0)</f>
        <v>0</v>
      </c>
      <c r="F52" s="164">
        <f>IF('Con P&amp;L'!$BI$52&lt;0,-'Con P&amp;L'!$BI$52,0)</f>
        <v>0</v>
      </c>
    </row>
    <row r="53" spans="1:6" ht="12.75">
      <c r="A53" s="192"/>
      <c r="B53" s="193"/>
      <c r="C53" s="164" t="s">
        <v>638</v>
      </c>
      <c r="D53" s="194"/>
      <c r="E53" s="164">
        <f>IF('Con P&amp;L'!$BI$52&gt;0,'Con P&amp;L'!$BI$52,0)</f>
        <v>0</v>
      </c>
      <c r="F53" s="164">
        <f>IF('Con P&amp;L'!$BI$52&lt;0,-'Con P&amp;L'!$BI$52,0)</f>
        <v>0</v>
      </c>
    </row>
    <row r="54" spans="1:9" ht="12.75">
      <c r="A54" s="192"/>
      <c r="B54" s="193"/>
      <c r="C54" s="164" t="s">
        <v>627</v>
      </c>
      <c r="D54" s="194"/>
      <c r="E54" s="164">
        <f>IF('Con P&amp;L'!$BI$52&gt;0,'Con P&amp;L'!$BI$52,0)</f>
        <v>0</v>
      </c>
      <c r="F54" s="164">
        <f>IF('Con P&amp;L'!$BI$52&lt;0,-'Con P&amp;L'!$BI$52,0)</f>
        <v>0</v>
      </c>
      <c r="I54" s="85">
        <v>31000</v>
      </c>
    </row>
    <row r="55" spans="1:9" ht="12.75">
      <c r="A55" s="172"/>
      <c r="B55" s="167"/>
      <c r="C55" s="244"/>
      <c r="D55" s="169"/>
      <c r="E55" s="168"/>
      <c r="F55" s="168"/>
      <c r="I55" s="85">
        <v>6</v>
      </c>
    </row>
    <row r="56" spans="1:9" ht="12.75">
      <c r="A56" s="166"/>
      <c r="B56" s="167"/>
      <c r="C56" s="168"/>
      <c r="D56" s="169"/>
      <c r="E56" s="235"/>
      <c r="F56" s="235"/>
      <c r="I56" s="85">
        <v>8</v>
      </c>
    </row>
    <row r="57" spans="1:9" ht="12.75">
      <c r="A57" s="240" t="s">
        <v>129</v>
      </c>
      <c r="B57" s="241"/>
      <c r="C57" s="242"/>
      <c r="D57" s="243"/>
      <c r="E57" s="229">
        <f>SUM(E49:E56)</f>
        <v>0</v>
      </c>
      <c r="F57" s="229">
        <f>SUM(F49:F56)</f>
        <v>0</v>
      </c>
      <c r="I57" s="85">
        <f>+I55*12</f>
        <v>72</v>
      </c>
    </row>
    <row r="58" spans="1:6" ht="12.75">
      <c r="A58" s="166"/>
      <c r="B58" s="167"/>
      <c r="C58" s="168"/>
      <c r="D58" s="169"/>
      <c r="E58" s="235"/>
      <c r="F58" s="235"/>
    </row>
    <row r="59" spans="1:6" ht="12.75">
      <c r="A59" s="166"/>
      <c r="B59" s="167"/>
      <c r="C59" s="168"/>
      <c r="D59" s="169"/>
      <c r="E59" s="168"/>
      <c r="F59" s="168"/>
    </row>
    <row r="60" spans="1:6" ht="12.75">
      <c r="A60" s="192" t="s">
        <v>130</v>
      </c>
      <c r="B60" s="193"/>
      <c r="C60" s="164"/>
      <c r="D60" s="169"/>
      <c r="E60" s="168"/>
      <c r="F60" s="168"/>
    </row>
    <row r="61" spans="1:6" ht="12.75">
      <c r="A61" s="192"/>
      <c r="B61" s="193"/>
      <c r="C61" s="164"/>
      <c r="D61" s="169"/>
      <c r="E61" s="164"/>
      <c r="F61" s="164"/>
    </row>
    <row r="62" spans="1:6" ht="12.75">
      <c r="A62" s="166"/>
      <c r="B62" s="167"/>
      <c r="C62" s="168"/>
      <c r="D62" s="169"/>
      <c r="E62" s="235"/>
      <c r="F62" s="235"/>
    </row>
    <row r="63" spans="1:6" ht="12.75">
      <c r="A63" s="240" t="s">
        <v>131</v>
      </c>
      <c r="B63" s="241"/>
      <c r="C63" s="242"/>
      <c r="D63" s="243"/>
      <c r="E63" s="229">
        <f>SUM(E60:E62)</f>
        <v>0</v>
      </c>
      <c r="F63" s="229">
        <f>SUM(F60:F62)</f>
        <v>0</v>
      </c>
    </row>
    <row r="64" spans="1:6" ht="12.75">
      <c r="A64" s="192"/>
      <c r="B64" s="193"/>
      <c r="C64" s="164"/>
      <c r="D64" s="245"/>
      <c r="E64" s="194"/>
      <c r="F64" s="194"/>
    </row>
    <row r="65" spans="1:6" ht="12.75">
      <c r="A65" s="192"/>
      <c r="B65" s="193"/>
      <c r="C65" s="164"/>
      <c r="D65" s="245"/>
      <c r="E65" s="194"/>
      <c r="F65" s="194"/>
    </row>
    <row r="66" spans="1:6" ht="12.75">
      <c r="A66" s="192" t="s">
        <v>132</v>
      </c>
      <c r="B66" s="193"/>
      <c r="C66" s="164"/>
      <c r="D66" s="169"/>
      <c r="E66" s="168"/>
      <c r="F66" s="168"/>
    </row>
    <row r="67" spans="1:6" ht="12.75">
      <c r="A67" s="192"/>
      <c r="B67" s="193" t="s">
        <v>133</v>
      </c>
      <c r="C67" s="164"/>
      <c r="D67" s="194" t="s">
        <v>25</v>
      </c>
      <c r="E67" s="168"/>
      <c r="F67" s="164">
        <v>3729863</v>
      </c>
    </row>
    <row r="68" spans="1:10" ht="12.75">
      <c r="A68" s="192"/>
      <c r="B68" s="193" t="s">
        <v>179</v>
      </c>
      <c r="C68" s="164"/>
      <c r="D68" s="194" t="s">
        <v>147</v>
      </c>
      <c r="E68" s="168">
        <v>259023</v>
      </c>
      <c r="F68" s="164"/>
      <c r="J68" s="203"/>
    </row>
    <row r="69" spans="1:6" ht="12.75">
      <c r="A69" s="192"/>
      <c r="B69" s="193" t="s">
        <v>148</v>
      </c>
      <c r="C69" s="164"/>
      <c r="D69" s="194" t="s">
        <v>149</v>
      </c>
      <c r="E69" s="168">
        <v>1778444</v>
      </c>
      <c r="F69" s="164"/>
    </row>
    <row r="70" spans="1:6" ht="12.75">
      <c r="A70" s="192"/>
      <c r="B70" s="193" t="s">
        <v>180</v>
      </c>
      <c r="C70" s="164"/>
      <c r="D70" s="169" t="s">
        <v>151</v>
      </c>
      <c r="E70" s="168">
        <v>209379</v>
      </c>
      <c r="F70" s="168"/>
    </row>
    <row r="71" spans="1:6" ht="12.75">
      <c r="A71" s="192"/>
      <c r="B71" s="193" t="s">
        <v>152</v>
      </c>
      <c r="C71" s="164"/>
      <c r="D71" s="194" t="s">
        <v>151</v>
      </c>
      <c r="E71" s="164">
        <v>546430</v>
      </c>
      <c r="F71" s="168"/>
    </row>
    <row r="72" spans="1:6" ht="12.75">
      <c r="A72" s="192"/>
      <c r="B72" s="193" t="s">
        <v>153</v>
      </c>
      <c r="C72" s="164"/>
      <c r="D72" s="194" t="s">
        <v>151</v>
      </c>
      <c r="E72" s="164"/>
      <c r="F72" s="168">
        <v>163929</v>
      </c>
    </row>
    <row r="73" spans="1:6" ht="12.75">
      <c r="A73" s="192"/>
      <c r="B73" s="193" t="s">
        <v>181</v>
      </c>
      <c r="C73" s="164"/>
      <c r="D73" s="194" t="s">
        <v>162</v>
      </c>
      <c r="E73" s="164">
        <v>156134</v>
      </c>
      <c r="F73" s="168"/>
    </row>
    <row r="74" spans="1:6" ht="12.75">
      <c r="A74" s="192"/>
      <c r="B74" s="193" t="s">
        <v>160</v>
      </c>
      <c r="C74" s="164"/>
      <c r="D74" s="194" t="s">
        <v>162</v>
      </c>
      <c r="E74" s="164">
        <v>2619159</v>
      </c>
      <c r="F74" s="168"/>
    </row>
    <row r="75" spans="1:6" ht="12.75">
      <c r="A75" s="192"/>
      <c r="B75" s="193" t="s">
        <v>161</v>
      </c>
      <c r="C75" s="164"/>
      <c r="D75" s="194" t="s">
        <v>162</v>
      </c>
      <c r="E75" s="168"/>
      <c r="F75" s="164">
        <v>935748</v>
      </c>
    </row>
    <row r="76" spans="1:6" ht="12.75">
      <c r="A76" s="192"/>
      <c r="B76" s="193" t="s">
        <v>182</v>
      </c>
      <c r="C76" s="164"/>
      <c r="D76" s="194" t="s">
        <v>166</v>
      </c>
      <c r="E76" s="168">
        <v>156134</v>
      </c>
      <c r="F76" s="164"/>
    </row>
    <row r="77" spans="1:6" ht="12.75">
      <c r="A77" s="192"/>
      <c r="B77" s="193" t="s">
        <v>164</v>
      </c>
      <c r="C77" s="164"/>
      <c r="D77" s="194" t="s">
        <v>166</v>
      </c>
      <c r="E77" s="168">
        <v>738128</v>
      </c>
      <c r="F77" s="164"/>
    </row>
    <row r="78" spans="1:6" ht="12.75">
      <c r="A78" s="192"/>
      <c r="B78" s="193" t="s">
        <v>165</v>
      </c>
      <c r="C78" s="164"/>
      <c r="D78" s="194" t="s">
        <v>166</v>
      </c>
      <c r="E78" s="168"/>
      <c r="F78" s="164">
        <v>221439</v>
      </c>
    </row>
    <row r="79" spans="1:6" ht="12.75">
      <c r="A79" s="192"/>
      <c r="B79" s="193" t="s">
        <v>167</v>
      </c>
      <c r="C79" s="164"/>
      <c r="D79" s="194" t="s">
        <v>170</v>
      </c>
      <c r="E79" s="168">
        <v>1109548</v>
      </c>
      <c r="F79" s="164"/>
    </row>
    <row r="80" spans="1:6" ht="12.75">
      <c r="A80" s="192"/>
      <c r="B80" s="193" t="s">
        <v>169</v>
      </c>
      <c r="C80" s="164"/>
      <c r="D80" s="194" t="s">
        <v>170</v>
      </c>
      <c r="E80" s="168"/>
      <c r="F80" s="164">
        <v>182864</v>
      </c>
    </row>
    <row r="81" spans="1:6" ht="12.75">
      <c r="A81" s="192"/>
      <c r="B81" s="193" t="s">
        <v>183</v>
      </c>
      <c r="C81" s="164"/>
      <c r="D81" s="194" t="s">
        <v>174</v>
      </c>
      <c r="E81" s="168">
        <v>156134</v>
      </c>
      <c r="F81" s="164"/>
    </row>
    <row r="82" spans="1:6" ht="12.75">
      <c r="A82" s="192"/>
      <c r="B82" s="193" t="s">
        <v>172</v>
      </c>
      <c r="C82" s="164"/>
      <c r="D82" s="194" t="s">
        <v>174</v>
      </c>
      <c r="E82" s="168">
        <v>9641335</v>
      </c>
      <c r="F82" s="164"/>
    </row>
    <row r="83" spans="1:6" ht="12.75">
      <c r="A83" s="192"/>
      <c r="B83" s="193" t="s">
        <v>173</v>
      </c>
      <c r="C83" s="164"/>
      <c r="D83" s="194" t="s">
        <v>174</v>
      </c>
      <c r="E83" s="168"/>
      <c r="F83" s="164">
        <v>2892400</v>
      </c>
    </row>
    <row r="84" spans="1:6" ht="12.75">
      <c r="A84" s="166"/>
      <c r="B84" s="167" t="s">
        <v>1253</v>
      </c>
      <c r="C84" s="246"/>
      <c r="D84" s="173" t="s">
        <v>700</v>
      </c>
      <c r="E84" s="168"/>
      <c r="F84" s="168">
        <v>32718</v>
      </c>
    </row>
    <row r="85" spans="1:6" ht="12.75">
      <c r="A85" s="172"/>
      <c r="B85" s="193" t="s">
        <v>1254</v>
      </c>
      <c r="C85" s="244"/>
      <c r="D85" s="169" t="s">
        <v>703</v>
      </c>
      <c r="E85" s="168">
        <v>9161</v>
      </c>
      <c r="F85" s="168"/>
    </row>
    <row r="86" spans="1:6" ht="12.75">
      <c r="A86" s="166"/>
      <c r="B86" s="167" t="s">
        <v>1257</v>
      </c>
      <c r="C86" s="246"/>
      <c r="D86" s="173" t="s">
        <v>700</v>
      </c>
      <c r="E86" s="168">
        <v>2243980</v>
      </c>
      <c r="F86" s="168"/>
    </row>
    <row r="87" spans="1:6" ht="12.75">
      <c r="A87" s="192"/>
      <c r="B87" s="214" t="s">
        <v>178</v>
      </c>
      <c r="C87" s="164"/>
      <c r="D87" s="194" t="s">
        <v>176</v>
      </c>
      <c r="E87" s="168"/>
      <c r="F87" s="164">
        <v>596683</v>
      </c>
    </row>
    <row r="88" spans="1:6" ht="12.75">
      <c r="A88" s="192"/>
      <c r="B88" s="214" t="s">
        <v>185</v>
      </c>
      <c r="C88" s="164"/>
      <c r="D88" s="194" t="s">
        <v>184</v>
      </c>
      <c r="E88" s="168">
        <v>71601</v>
      </c>
      <c r="F88" s="164"/>
    </row>
    <row r="89" spans="1:6" ht="12.75">
      <c r="A89" s="192"/>
      <c r="B89" s="214" t="s">
        <v>189</v>
      </c>
      <c r="C89" s="164"/>
      <c r="D89" s="194" t="s">
        <v>188</v>
      </c>
      <c r="E89" s="168">
        <v>23867</v>
      </c>
      <c r="F89" s="164"/>
    </row>
    <row r="90" spans="1:6" ht="12.75">
      <c r="A90" s="166"/>
      <c r="B90" s="214" t="s">
        <v>1252</v>
      </c>
      <c r="C90" s="168"/>
      <c r="D90" s="169" t="s">
        <v>717</v>
      </c>
      <c r="E90" s="168">
        <v>23867</v>
      </c>
      <c r="F90" s="168"/>
    </row>
    <row r="91" spans="1:6" ht="12.75">
      <c r="A91" s="192"/>
      <c r="B91" s="214" t="s">
        <v>193</v>
      </c>
      <c r="C91" s="164"/>
      <c r="D91" s="194" t="s">
        <v>191</v>
      </c>
      <c r="E91" s="168"/>
      <c r="F91" s="164">
        <v>2445662</v>
      </c>
    </row>
    <row r="92" spans="1:6" ht="12.75">
      <c r="A92" s="192"/>
      <c r="B92" s="214" t="s">
        <v>194</v>
      </c>
      <c r="C92" s="164"/>
      <c r="D92" s="194" t="s">
        <v>195</v>
      </c>
      <c r="E92" s="168">
        <v>142184</v>
      </c>
      <c r="F92" s="164"/>
    </row>
    <row r="93" spans="1:6" ht="12.75">
      <c r="A93" s="192"/>
      <c r="B93" s="214" t="s">
        <v>329</v>
      </c>
      <c r="C93" s="164"/>
      <c r="D93" s="194" t="s">
        <v>330</v>
      </c>
      <c r="E93" s="168">
        <v>71092</v>
      </c>
      <c r="F93" s="164"/>
    </row>
    <row r="94" spans="1:6" ht="12.75">
      <c r="A94" s="192"/>
      <c r="B94" s="214" t="s">
        <v>198</v>
      </c>
      <c r="C94" s="164"/>
      <c r="D94" s="194" t="s">
        <v>200</v>
      </c>
      <c r="E94" s="168"/>
      <c r="F94" s="164">
        <v>197912</v>
      </c>
    </row>
    <row r="95" spans="1:6" ht="12.75">
      <c r="A95" s="192"/>
      <c r="B95" s="214" t="s">
        <v>199</v>
      </c>
      <c r="C95" s="164"/>
      <c r="D95" s="194" t="s">
        <v>201</v>
      </c>
      <c r="E95" s="168"/>
      <c r="F95" s="164">
        <v>470742</v>
      </c>
    </row>
    <row r="96" spans="1:6" ht="12.75">
      <c r="A96" s="166"/>
      <c r="B96" s="167" t="s">
        <v>1255</v>
      </c>
      <c r="C96" s="247"/>
      <c r="D96" s="173" t="s">
        <v>1136</v>
      </c>
      <c r="E96" s="168">
        <v>1564012</v>
      </c>
      <c r="F96" s="168"/>
    </row>
    <row r="97" spans="1:6" ht="12.75">
      <c r="A97" s="192"/>
      <c r="B97" s="214" t="s">
        <v>266</v>
      </c>
      <c r="C97" s="164"/>
      <c r="D97" s="194" t="s">
        <v>215</v>
      </c>
      <c r="E97" s="168">
        <v>1133544</v>
      </c>
      <c r="F97" s="164"/>
    </row>
    <row r="98" spans="1:6" ht="12.75">
      <c r="A98" s="192"/>
      <c r="B98" s="214" t="s">
        <v>218</v>
      </c>
      <c r="C98" s="164"/>
      <c r="D98" s="194" t="s">
        <v>216</v>
      </c>
      <c r="E98" s="168">
        <v>836470</v>
      </c>
      <c r="F98" s="164"/>
    </row>
    <row r="99" spans="1:6" ht="12.75">
      <c r="A99" s="192"/>
      <c r="B99" s="214" t="s">
        <v>219</v>
      </c>
      <c r="C99" s="164"/>
      <c r="D99" s="194" t="s">
        <v>238</v>
      </c>
      <c r="E99" s="168">
        <v>914668</v>
      </c>
      <c r="F99" s="164"/>
    </row>
    <row r="100" spans="1:6" ht="12.75">
      <c r="A100" s="192"/>
      <c r="B100" s="214" t="s">
        <v>1379</v>
      </c>
      <c r="C100" s="164"/>
      <c r="D100" s="194" t="s">
        <v>1145</v>
      </c>
      <c r="E100" s="168"/>
      <c r="F100" s="168">
        <v>7299851</v>
      </c>
    </row>
    <row r="101" spans="1:6" ht="12.75">
      <c r="A101" s="192"/>
      <c r="B101" s="214" t="s">
        <v>1219</v>
      </c>
      <c r="C101" s="164"/>
      <c r="D101" s="194" t="s">
        <v>1147</v>
      </c>
      <c r="E101" s="168"/>
      <c r="F101" s="168">
        <v>34394</v>
      </c>
    </row>
    <row r="102" spans="1:6" ht="12.75">
      <c r="A102" s="192"/>
      <c r="B102" s="214" t="s">
        <v>1222</v>
      </c>
      <c r="C102" s="164"/>
      <c r="D102" s="194" t="s">
        <v>1214</v>
      </c>
      <c r="E102" s="168"/>
      <c r="F102" s="168">
        <v>1514951</v>
      </c>
    </row>
    <row r="103" spans="1:6" ht="12.75">
      <c r="A103" s="192"/>
      <c r="B103" s="214" t="s">
        <v>1220</v>
      </c>
      <c r="C103" s="164"/>
      <c r="D103" s="194" t="s">
        <v>1215</v>
      </c>
      <c r="E103" s="168">
        <v>78450</v>
      </c>
      <c r="F103" s="168"/>
    </row>
    <row r="104" spans="1:6" ht="12.75">
      <c r="A104" s="192"/>
      <c r="B104" s="214" t="s">
        <v>1221</v>
      </c>
      <c r="C104" s="164"/>
      <c r="D104" s="194" t="s">
        <v>1215</v>
      </c>
      <c r="E104" s="168"/>
      <c r="F104" s="168">
        <v>2018</v>
      </c>
    </row>
    <row r="105" spans="1:6" ht="12.75">
      <c r="A105" s="192"/>
      <c r="B105" s="195" t="s">
        <v>229</v>
      </c>
      <c r="C105" s="164"/>
      <c r="D105" s="194" t="s">
        <v>227</v>
      </c>
      <c r="E105" s="168">
        <v>90000</v>
      </c>
      <c r="F105" s="164"/>
    </row>
    <row r="106" spans="1:6" ht="12.75">
      <c r="A106" s="192"/>
      <c r="B106" s="195" t="s">
        <v>331</v>
      </c>
      <c r="C106" s="164"/>
      <c r="D106" s="194" t="s">
        <v>332</v>
      </c>
      <c r="E106" s="168">
        <v>90000</v>
      </c>
      <c r="F106" s="164"/>
    </row>
    <row r="107" spans="1:6" ht="12.75">
      <c r="A107" s="166"/>
      <c r="B107" s="195" t="s">
        <v>1363</v>
      </c>
      <c r="C107" s="168"/>
      <c r="D107" s="169" t="s">
        <v>1137</v>
      </c>
      <c r="E107" s="168">
        <v>90000</v>
      </c>
      <c r="F107" s="168"/>
    </row>
    <row r="108" spans="1:6" ht="12.75">
      <c r="A108" s="192"/>
      <c r="B108" s="193" t="s">
        <v>232</v>
      </c>
      <c r="C108" s="164"/>
      <c r="D108" s="194" t="s">
        <v>230</v>
      </c>
      <c r="E108" s="168">
        <v>5087000</v>
      </c>
      <c r="F108" s="164"/>
    </row>
    <row r="109" spans="1:6" ht="12.75">
      <c r="A109" s="192"/>
      <c r="B109" s="193" t="s">
        <v>232</v>
      </c>
      <c r="C109" s="164"/>
      <c r="D109" s="194" t="s">
        <v>230</v>
      </c>
      <c r="E109" s="168"/>
      <c r="F109" s="164">
        <v>6475000</v>
      </c>
    </row>
    <row r="110" spans="1:7" s="254" customFormat="1" ht="12.75">
      <c r="A110" s="256"/>
      <c r="B110" s="257" t="s">
        <v>206</v>
      </c>
      <c r="C110" s="258"/>
      <c r="D110" s="260" t="s">
        <v>343</v>
      </c>
      <c r="E110" s="253"/>
      <c r="F110" s="253">
        <v>811783</v>
      </c>
      <c r="G110" s="255"/>
    </row>
    <row r="111" spans="1:7" s="254" customFormat="1" ht="12.75">
      <c r="A111" s="256"/>
      <c r="B111" s="257" t="s">
        <v>207</v>
      </c>
      <c r="C111" s="258"/>
      <c r="D111" s="260" t="s">
        <v>343</v>
      </c>
      <c r="E111" s="253"/>
      <c r="F111" s="258">
        <v>358488</v>
      </c>
      <c r="G111" s="255"/>
    </row>
    <row r="112" spans="1:7" s="254" customFormat="1" ht="12.75">
      <c r="A112" s="256"/>
      <c r="B112" s="599" t="s">
        <v>615</v>
      </c>
      <c r="C112" s="258"/>
      <c r="D112" s="260" t="s">
        <v>616</v>
      </c>
      <c r="E112" s="253"/>
      <c r="F112" s="258">
        <v>1199046</v>
      </c>
      <c r="G112" s="255"/>
    </row>
    <row r="113" spans="1:6" ht="12.75">
      <c r="A113" s="192"/>
      <c r="B113" s="195" t="s">
        <v>237</v>
      </c>
      <c r="C113" s="164"/>
      <c r="D113" s="194" t="s">
        <v>233</v>
      </c>
      <c r="E113" s="168"/>
      <c r="F113" s="164">
        <v>10865</v>
      </c>
    </row>
    <row r="114" spans="1:6" ht="12.75">
      <c r="A114" s="192"/>
      <c r="B114" s="195" t="s">
        <v>247</v>
      </c>
      <c r="C114" s="164"/>
      <c r="D114" s="194" t="s">
        <v>251</v>
      </c>
      <c r="E114" s="168">
        <v>886424</v>
      </c>
      <c r="F114" s="164"/>
    </row>
    <row r="115" spans="1:6" ht="12.75">
      <c r="A115" s="166"/>
      <c r="B115" s="195" t="s">
        <v>1369</v>
      </c>
      <c r="C115" s="168"/>
      <c r="D115" s="169" t="s">
        <v>1134</v>
      </c>
      <c r="E115" s="168">
        <v>119636</v>
      </c>
      <c r="F115" s="168"/>
    </row>
    <row r="116" spans="1:6" ht="12.75">
      <c r="A116" s="192"/>
      <c r="B116" s="195" t="s">
        <v>265</v>
      </c>
      <c r="C116" s="164"/>
      <c r="D116" s="194" t="s">
        <v>256</v>
      </c>
      <c r="E116" s="168">
        <v>3406253</v>
      </c>
      <c r="F116" s="164"/>
    </row>
    <row r="117" spans="1:6" s="254" customFormat="1" ht="12.75">
      <c r="A117" s="256"/>
      <c r="B117" s="261" t="s">
        <v>731</v>
      </c>
      <c r="C117" s="258"/>
      <c r="D117" s="260" t="s">
        <v>558</v>
      </c>
      <c r="E117" s="253"/>
      <c r="F117" s="253">
        <v>19000000</v>
      </c>
    </row>
    <row r="118" spans="1:6" s="254" customFormat="1" ht="12.75">
      <c r="A118" s="256"/>
      <c r="B118" s="261" t="s">
        <v>734</v>
      </c>
      <c r="C118" s="258"/>
      <c r="D118" s="260" t="s">
        <v>560</v>
      </c>
      <c r="E118" s="253"/>
      <c r="F118" s="253">
        <v>1319088</v>
      </c>
    </row>
    <row r="119" spans="1:6" ht="12.75">
      <c r="A119" s="192"/>
      <c r="B119" s="195" t="s">
        <v>260</v>
      </c>
      <c r="C119" s="164"/>
      <c r="D119" s="194" t="s">
        <v>258</v>
      </c>
      <c r="E119" s="168"/>
      <c r="F119" s="164">
        <v>2439</v>
      </c>
    </row>
    <row r="120" spans="1:6" ht="12.75">
      <c r="A120" s="192"/>
      <c r="B120" s="195" t="s">
        <v>333</v>
      </c>
      <c r="C120" s="164"/>
      <c r="D120" s="194" t="s">
        <v>334</v>
      </c>
      <c r="E120" s="168">
        <v>232098</v>
      </c>
      <c r="F120" s="164"/>
    </row>
    <row r="121" spans="1:6" ht="12.75">
      <c r="A121" s="166"/>
      <c r="B121" s="195" t="s">
        <v>1365</v>
      </c>
      <c r="C121" s="168"/>
      <c r="D121" s="169" t="s">
        <v>1139</v>
      </c>
      <c r="E121" s="168">
        <v>232098</v>
      </c>
      <c r="F121" s="168"/>
    </row>
    <row r="122" spans="1:6" ht="12.75">
      <c r="A122" s="192"/>
      <c r="B122" s="195" t="s">
        <v>264</v>
      </c>
      <c r="C122" s="164"/>
      <c r="D122" s="194" t="s">
        <v>263</v>
      </c>
      <c r="E122" s="168">
        <v>19807</v>
      </c>
      <c r="F122" s="164"/>
    </row>
    <row r="123" spans="1:6" ht="12.75">
      <c r="A123" s="192"/>
      <c r="B123" s="195" t="s">
        <v>272</v>
      </c>
      <c r="C123" s="164"/>
      <c r="D123" s="194" t="s">
        <v>271</v>
      </c>
      <c r="E123" s="168">
        <v>-171</v>
      </c>
      <c r="F123" s="164"/>
    </row>
    <row r="124" spans="1:6" ht="12.75">
      <c r="A124" s="192"/>
      <c r="B124" s="195" t="s">
        <v>1378</v>
      </c>
      <c r="C124" s="164"/>
      <c r="D124" s="194" t="s">
        <v>1147</v>
      </c>
      <c r="E124" s="164">
        <v>2723</v>
      </c>
      <c r="F124" s="164"/>
    </row>
    <row r="125" spans="1:6" ht="12.75">
      <c r="A125" s="192"/>
      <c r="B125" s="195" t="s">
        <v>276</v>
      </c>
      <c r="C125" s="164"/>
      <c r="D125" s="194" t="s">
        <v>274</v>
      </c>
      <c r="E125" s="168"/>
      <c r="F125" s="164">
        <v>105207</v>
      </c>
    </row>
    <row r="126" spans="1:6" ht="12.75">
      <c r="A126" s="192"/>
      <c r="B126" s="195" t="s">
        <v>372</v>
      </c>
      <c r="C126" s="164"/>
      <c r="D126" s="194" t="s">
        <v>373</v>
      </c>
      <c r="E126" s="168">
        <v>4208</v>
      </c>
      <c r="F126" s="164"/>
    </row>
    <row r="127" spans="1:6" ht="12.75">
      <c r="A127" s="166"/>
      <c r="B127" s="195" t="s">
        <v>1366</v>
      </c>
      <c r="C127" s="168"/>
      <c r="D127" s="169" t="s">
        <v>1140</v>
      </c>
      <c r="E127" s="168">
        <v>4208</v>
      </c>
      <c r="F127" s="168"/>
    </row>
    <row r="128" spans="1:6" ht="12.75">
      <c r="A128" s="192"/>
      <c r="B128" s="195" t="s">
        <v>335</v>
      </c>
      <c r="C128" s="164"/>
      <c r="D128" s="194" t="s">
        <v>336</v>
      </c>
      <c r="E128" s="168">
        <v>440015</v>
      </c>
      <c r="F128" s="164"/>
    </row>
    <row r="129" spans="1:6" ht="12.75">
      <c r="A129" s="166"/>
      <c r="B129" s="167" t="s">
        <v>1367</v>
      </c>
      <c r="C129" s="247"/>
      <c r="D129" s="173" t="s">
        <v>1141</v>
      </c>
      <c r="E129" s="168">
        <v>10560367</v>
      </c>
      <c r="F129" s="168"/>
    </row>
    <row r="130" spans="1:6" ht="12.75">
      <c r="A130" s="166"/>
      <c r="B130" s="167" t="s">
        <v>1375</v>
      </c>
      <c r="C130" s="168"/>
      <c r="D130" s="169" t="s">
        <v>1143</v>
      </c>
      <c r="E130" s="168"/>
      <c r="F130" s="168">
        <v>2027981</v>
      </c>
    </row>
    <row r="131" spans="1:7" ht="12.75">
      <c r="A131" s="166"/>
      <c r="B131" s="167" t="s">
        <v>1381</v>
      </c>
      <c r="C131" s="168"/>
      <c r="D131" s="169" t="s">
        <v>1145</v>
      </c>
      <c r="E131" s="168"/>
      <c r="F131" s="168">
        <v>17904875</v>
      </c>
      <c r="G131" s="85">
        <v>8932474</v>
      </c>
    </row>
    <row r="132" spans="1:6" ht="12.75">
      <c r="A132" s="166"/>
      <c r="B132" s="591" t="s">
        <v>617</v>
      </c>
      <c r="C132" s="168"/>
      <c r="D132" s="169" t="s">
        <v>568</v>
      </c>
      <c r="E132" s="168">
        <v>44133290</v>
      </c>
      <c r="F132" s="168"/>
    </row>
    <row r="133" spans="1:6" ht="12.75">
      <c r="A133" s="166"/>
      <c r="B133" s="167" t="s">
        <v>455</v>
      </c>
      <c r="C133" s="168"/>
      <c r="D133" s="169"/>
      <c r="E133" s="168"/>
      <c r="F133" s="168"/>
    </row>
    <row r="134" spans="1:6" ht="12.75">
      <c r="A134" s="192"/>
      <c r="B134" s="195" t="s">
        <v>310</v>
      </c>
      <c r="C134" s="164"/>
      <c r="D134" s="194" t="s">
        <v>308</v>
      </c>
      <c r="E134" s="168"/>
      <c r="F134" s="164">
        <v>2834</v>
      </c>
    </row>
    <row r="135" spans="1:6" ht="12.75">
      <c r="A135" s="192"/>
      <c r="B135" s="195" t="s">
        <v>347</v>
      </c>
      <c r="C135" s="164"/>
      <c r="D135" s="194" t="s">
        <v>348</v>
      </c>
      <c r="E135" s="168">
        <v>40113</v>
      </c>
      <c r="F135" s="164"/>
    </row>
    <row r="136" spans="1:6" ht="12.75">
      <c r="A136" s="166"/>
      <c r="B136" s="167" t="s">
        <v>1371</v>
      </c>
      <c r="C136" s="246"/>
      <c r="D136" s="169" t="s">
        <v>1131</v>
      </c>
      <c r="E136" s="168"/>
      <c r="F136" s="168">
        <v>37279</v>
      </c>
    </row>
    <row r="137" spans="1:6" ht="12.75">
      <c r="A137" s="192"/>
      <c r="B137" s="195" t="s">
        <v>314</v>
      </c>
      <c r="C137" s="164"/>
      <c r="D137" s="194" t="s">
        <v>311</v>
      </c>
      <c r="E137" s="168"/>
      <c r="F137" s="164">
        <v>5965</v>
      </c>
    </row>
    <row r="138" spans="1:6" ht="12.75">
      <c r="A138" s="192"/>
      <c r="B138" s="195" t="s">
        <v>349</v>
      </c>
      <c r="C138" s="164"/>
      <c r="D138" s="194" t="s">
        <v>350</v>
      </c>
      <c r="E138" s="168">
        <v>173839</v>
      </c>
      <c r="F138" s="164"/>
    </row>
    <row r="139" spans="1:6" ht="12.75">
      <c r="A139" s="166"/>
      <c r="B139" s="195" t="s">
        <v>1368</v>
      </c>
      <c r="C139" s="168"/>
      <c r="D139" s="169" t="s">
        <v>1142</v>
      </c>
      <c r="E139" s="168">
        <v>173839</v>
      </c>
      <c r="F139" s="168"/>
    </row>
    <row r="140" spans="1:6" ht="12.75">
      <c r="A140" s="192"/>
      <c r="B140" s="195" t="s">
        <v>319</v>
      </c>
      <c r="C140" s="164"/>
      <c r="D140" s="194" t="s">
        <v>320</v>
      </c>
      <c r="E140" s="168">
        <v>525723</v>
      </c>
      <c r="F140" s="164"/>
    </row>
    <row r="141" spans="1:6" ht="12.75">
      <c r="A141" s="192"/>
      <c r="B141" s="195" t="s">
        <v>319</v>
      </c>
      <c r="C141" s="164"/>
      <c r="D141" s="194" t="s">
        <v>320</v>
      </c>
      <c r="E141" s="168"/>
      <c r="F141" s="164">
        <v>525723</v>
      </c>
    </row>
    <row r="142" spans="1:6" ht="12.75">
      <c r="A142" s="192"/>
      <c r="B142" s="195" t="s">
        <v>323</v>
      </c>
      <c r="C142" s="164"/>
      <c r="D142" s="194" t="s">
        <v>322</v>
      </c>
      <c r="E142" s="168"/>
      <c r="F142" s="251">
        <v>0</v>
      </c>
    </row>
    <row r="143" spans="1:6" ht="12.75">
      <c r="A143" s="192"/>
      <c r="B143" s="195" t="s">
        <v>327</v>
      </c>
      <c r="C143" s="164"/>
      <c r="D143" s="194" t="s">
        <v>326</v>
      </c>
      <c r="E143" s="168">
        <v>3000000</v>
      </c>
      <c r="F143" s="164"/>
    </row>
    <row r="144" spans="1:6" ht="12.75">
      <c r="A144" s="192"/>
      <c r="B144" s="195" t="s">
        <v>328</v>
      </c>
      <c r="C144" s="164"/>
      <c r="D144" s="194" t="s">
        <v>326</v>
      </c>
      <c r="E144" s="168"/>
      <c r="F144" s="164">
        <v>900000</v>
      </c>
    </row>
    <row r="145" spans="1:7" s="49" customFormat="1" ht="12.75">
      <c r="A145" s="213"/>
      <c r="B145" s="195" t="s">
        <v>327</v>
      </c>
      <c r="C145" s="157"/>
      <c r="D145" s="215" t="s">
        <v>326</v>
      </c>
      <c r="E145" s="158"/>
      <c r="F145" s="157">
        <v>2100000</v>
      </c>
      <c r="G145" s="55"/>
    </row>
    <row r="146" spans="1:6" ht="12.75">
      <c r="A146" s="192"/>
      <c r="B146" s="195" t="s">
        <v>374</v>
      </c>
      <c r="C146" s="164"/>
      <c r="D146" s="194" t="s">
        <v>375</v>
      </c>
      <c r="E146" s="168">
        <v>116000</v>
      </c>
      <c r="F146" s="164"/>
    </row>
    <row r="147" spans="1:6" ht="12.75">
      <c r="A147" s="166"/>
      <c r="B147" s="195" t="s">
        <v>1364</v>
      </c>
      <c r="C147" s="168"/>
      <c r="D147" s="169" t="s">
        <v>1138</v>
      </c>
      <c r="E147" s="168">
        <v>116000</v>
      </c>
      <c r="F147" s="168"/>
    </row>
    <row r="148" spans="1:6" ht="12.75">
      <c r="A148" s="166"/>
      <c r="B148" s="195" t="s">
        <v>1382</v>
      </c>
      <c r="C148" s="167"/>
      <c r="D148" s="173" t="s">
        <v>1206</v>
      </c>
      <c r="E148" s="168"/>
      <c r="F148" s="168">
        <v>2306400</v>
      </c>
    </row>
    <row r="149" spans="1:6" ht="12.75">
      <c r="A149" s="192"/>
      <c r="B149" s="193" t="s">
        <v>640</v>
      </c>
      <c r="C149" s="193"/>
      <c r="D149" s="248" t="s">
        <v>1206</v>
      </c>
      <c r="E149" s="164">
        <v>1706400</v>
      </c>
      <c r="F149" s="168"/>
    </row>
    <row r="150" spans="1:6" s="254" customFormat="1" ht="12.75">
      <c r="A150" s="262"/>
      <c r="B150" s="252" t="s">
        <v>552</v>
      </c>
      <c r="C150" s="253"/>
      <c r="D150" s="259" t="s">
        <v>560</v>
      </c>
      <c r="E150" s="253">
        <v>2443</v>
      </c>
      <c r="F150" s="253"/>
    </row>
    <row r="151" spans="1:6" ht="12.75">
      <c r="A151" s="192"/>
      <c r="B151" s="195"/>
      <c r="C151" s="164"/>
      <c r="D151" s="194"/>
      <c r="E151" s="168"/>
      <c r="F151" s="164"/>
    </row>
    <row r="152" spans="1:6" ht="12.75">
      <c r="A152" s="192"/>
      <c r="B152" s="195" t="s">
        <v>1377</v>
      </c>
      <c r="C152" s="164"/>
      <c r="D152" s="194"/>
      <c r="E152" s="168"/>
      <c r="F152" s="164"/>
    </row>
    <row r="153" spans="1:6" ht="12.75">
      <c r="A153" s="192"/>
      <c r="B153" s="195"/>
      <c r="C153" s="164" t="s">
        <v>649</v>
      </c>
      <c r="D153" s="194" t="s">
        <v>1149</v>
      </c>
      <c r="E153" s="168"/>
      <c r="F153" s="168">
        <v>87466530</v>
      </c>
    </row>
    <row r="154" spans="1:6" ht="12.75">
      <c r="A154" s="192"/>
      <c r="B154" s="195"/>
      <c r="C154" s="164" t="s">
        <v>245</v>
      </c>
      <c r="D154" s="194" t="s">
        <v>1152</v>
      </c>
      <c r="E154" s="168"/>
      <c r="F154" s="168">
        <v>4444000</v>
      </c>
    </row>
    <row r="155" spans="1:6" ht="12.75">
      <c r="A155" s="192"/>
      <c r="B155" s="195"/>
      <c r="C155" s="164" t="s">
        <v>242</v>
      </c>
      <c r="D155" s="194" t="s">
        <v>1128</v>
      </c>
      <c r="E155" s="168"/>
      <c r="F155" s="168">
        <v>2000000</v>
      </c>
    </row>
    <row r="156" spans="1:6" s="254" customFormat="1" ht="12.75">
      <c r="A156" s="256"/>
      <c r="B156" s="261"/>
      <c r="C156" s="258" t="s">
        <v>342</v>
      </c>
      <c r="D156" s="260" t="s">
        <v>555</v>
      </c>
      <c r="E156" s="253"/>
      <c r="F156" s="253">
        <v>1294999</v>
      </c>
    </row>
    <row r="157" spans="1:6" ht="12.75">
      <c r="A157" s="192"/>
      <c r="B157" s="195"/>
      <c r="C157" s="164"/>
      <c r="D157" s="194"/>
      <c r="E157" s="168"/>
      <c r="F157" s="164"/>
    </row>
    <row r="158" spans="1:6" ht="12.75">
      <c r="A158" s="192"/>
      <c r="B158" s="195" t="s">
        <v>1376</v>
      </c>
      <c r="C158" s="164"/>
      <c r="D158" s="194"/>
      <c r="E158" s="168"/>
      <c r="F158" s="164"/>
    </row>
    <row r="159" spans="1:6" ht="12.75">
      <c r="A159" s="192"/>
      <c r="B159" s="195"/>
      <c r="C159" s="164" t="s">
        <v>649</v>
      </c>
      <c r="D159" s="194" t="s">
        <v>1149</v>
      </c>
      <c r="E159" s="168"/>
      <c r="F159" s="249">
        <v>107129797</v>
      </c>
    </row>
    <row r="160" spans="1:6" ht="12.75">
      <c r="A160" s="192"/>
      <c r="B160" s="195"/>
      <c r="C160" s="164" t="s">
        <v>242</v>
      </c>
      <c r="D160" s="194" t="s">
        <v>1128</v>
      </c>
      <c r="E160" s="168"/>
      <c r="F160" s="168">
        <v>4219383</v>
      </c>
    </row>
    <row r="161" spans="1:6" s="254" customFormat="1" ht="12.75">
      <c r="A161" s="256"/>
      <c r="B161" s="261"/>
      <c r="C161" s="258" t="s">
        <v>342</v>
      </c>
      <c r="D161" s="260" t="s">
        <v>555</v>
      </c>
      <c r="E161" s="253"/>
      <c r="F161" s="253">
        <v>205000</v>
      </c>
    </row>
    <row r="162" spans="1:7" s="254" customFormat="1" ht="12.75">
      <c r="A162" s="256"/>
      <c r="B162" s="261"/>
      <c r="C162" s="258" t="s">
        <v>454</v>
      </c>
      <c r="D162" s="260" t="s">
        <v>1072</v>
      </c>
      <c r="E162" s="253"/>
      <c r="F162" s="253">
        <v>34000000</v>
      </c>
      <c r="G162" s="255"/>
    </row>
    <row r="163" spans="1:6" s="191" customFormat="1" ht="12.75">
      <c r="A163" s="192"/>
      <c r="B163" s="195"/>
      <c r="C163" s="164"/>
      <c r="D163" s="194"/>
      <c r="E163" s="168"/>
      <c r="F163" s="168"/>
    </row>
    <row r="164" spans="1:6" ht="12.75">
      <c r="A164" s="192"/>
      <c r="B164" s="167" t="s">
        <v>641</v>
      </c>
      <c r="C164" s="164"/>
      <c r="D164" s="245"/>
      <c r="E164" s="168"/>
      <c r="F164" s="164"/>
    </row>
    <row r="165" spans="1:6" ht="12.75">
      <c r="A165" s="172"/>
      <c r="C165" s="164" t="s">
        <v>649</v>
      </c>
      <c r="D165" s="173" t="s">
        <v>1149</v>
      </c>
      <c r="E165" s="168"/>
      <c r="F165" s="168">
        <v>5020000</v>
      </c>
    </row>
    <row r="166" spans="1:6" ht="12.75">
      <c r="A166" s="192"/>
      <c r="B166" s="193"/>
      <c r="C166" s="164"/>
      <c r="D166" s="245"/>
      <c r="E166" s="168"/>
      <c r="F166" s="164"/>
    </row>
    <row r="167" spans="1:6" ht="12.75">
      <c r="A167" s="192"/>
      <c r="B167" s="193" t="s">
        <v>302</v>
      </c>
      <c r="C167" s="164"/>
      <c r="D167" s="168"/>
      <c r="E167" s="168"/>
      <c r="F167" s="168"/>
    </row>
    <row r="168" spans="1:6" ht="12.75">
      <c r="A168" s="192"/>
      <c r="B168" s="193"/>
      <c r="C168" s="214" t="s">
        <v>303</v>
      </c>
      <c r="D168" s="248" t="s">
        <v>301</v>
      </c>
      <c r="E168" s="164">
        <v>373419</v>
      </c>
      <c r="F168" s="164"/>
    </row>
    <row r="169" spans="1:6" ht="12.75">
      <c r="A169" s="192"/>
      <c r="B169" s="193"/>
      <c r="C169" s="157" t="s">
        <v>304</v>
      </c>
      <c r="D169" s="194" t="s">
        <v>301</v>
      </c>
      <c r="E169" s="164"/>
      <c r="F169" s="164">
        <v>1032466</v>
      </c>
    </row>
    <row r="170" spans="1:6" ht="12.75">
      <c r="A170" s="192"/>
      <c r="B170" s="193"/>
      <c r="C170" s="157" t="s">
        <v>307</v>
      </c>
      <c r="D170" s="194" t="s">
        <v>306</v>
      </c>
      <c r="E170" s="164">
        <v>1043599</v>
      </c>
      <c r="F170" s="164"/>
    </row>
    <row r="171" spans="1:6" ht="12.75">
      <c r="A171" s="192"/>
      <c r="B171" s="193"/>
      <c r="C171" s="157" t="s">
        <v>305</v>
      </c>
      <c r="D171" s="194" t="s">
        <v>306</v>
      </c>
      <c r="E171" s="164"/>
      <c r="F171" s="164">
        <v>1043599</v>
      </c>
    </row>
    <row r="172" spans="1:6" ht="12.75">
      <c r="A172" s="192"/>
      <c r="B172" s="193"/>
      <c r="C172" s="157" t="s">
        <v>324</v>
      </c>
      <c r="D172" s="194" t="s">
        <v>325</v>
      </c>
      <c r="E172" s="164">
        <v>406716</v>
      </c>
      <c r="F172" s="164"/>
    </row>
    <row r="173" spans="1:6" ht="12.75">
      <c r="A173" s="192"/>
      <c r="B173" s="193"/>
      <c r="C173" s="157" t="s">
        <v>324</v>
      </c>
      <c r="D173" s="194" t="s">
        <v>325</v>
      </c>
      <c r="E173" s="164"/>
      <c r="F173" s="164">
        <v>1338520</v>
      </c>
    </row>
    <row r="174" spans="1:6" ht="12.75">
      <c r="A174" s="192"/>
      <c r="B174" s="193"/>
      <c r="C174" s="164" t="s">
        <v>1370</v>
      </c>
      <c r="D174" s="169" t="s">
        <v>1144</v>
      </c>
      <c r="E174" s="164">
        <v>2344765</v>
      </c>
      <c r="F174" s="164"/>
    </row>
    <row r="175" spans="1:6" ht="12.75">
      <c r="A175" s="172"/>
      <c r="B175" s="167" t="s">
        <v>646</v>
      </c>
      <c r="C175" s="167"/>
      <c r="D175" s="173"/>
      <c r="E175" s="168"/>
      <c r="F175" s="168"/>
    </row>
    <row r="176" spans="1:6" ht="12.75">
      <c r="A176" s="172"/>
      <c r="B176" s="167"/>
      <c r="C176" s="167" t="s">
        <v>647</v>
      </c>
      <c r="D176" s="173" t="s">
        <v>1211</v>
      </c>
      <c r="E176" s="168"/>
      <c r="F176" s="168">
        <v>230</v>
      </c>
    </row>
    <row r="177" spans="1:6" ht="12.75">
      <c r="A177" s="172"/>
      <c r="B177" s="167"/>
      <c r="C177" s="167" t="s">
        <v>648</v>
      </c>
      <c r="D177" s="173" t="s">
        <v>1212</v>
      </c>
      <c r="E177" s="168">
        <v>20</v>
      </c>
      <c r="F177" s="168"/>
    </row>
    <row r="178" spans="1:6" ht="12.75">
      <c r="A178" s="172"/>
      <c r="B178" s="167"/>
      <c r="C178" s="167"/>
      <c r="D178" s="169"/>
      <c r="E178" s="168"/>
      <c r="F178" s="168"/>
    </row>
    <row r="179" spans="1:6" s="191" customFormat="1" ht="12.75">
      <c r="A179" s="714" t="s">
        <v>597</v>
      </c>
      <c r="B179" s="715"/>
      <c r="C179" s="716"/>
      <c r="D179" s="717"/>
      <c r="E179" s="716"/>
      <c r="F179" s="716"/>
    </row>
    <row r="180" spans="1:6" ht="12.75">
      <c r="A180" s="166"/>
      <c r="B180" s="167" t="s">
        <v>614</v>
      </c>
      <c r="C180" s="168"/>
      <c r="D180" s="169"/>
      <c r="E180" s="168"/>
      <c r="F180" s="168"/>
    </row>
    <row r="181" spans="1:6" ht="12.75">
      <c r="A181" s="166"/>
      <c r="B181" s="167"/>
      <c r="C181" s="168" t="s">
        <v>1179</v>
      </c>
      <c r="D181" s="169" t="s">
        <v>1171</v>
      </c>
      <c r="E181" s="587">
        <v>477348</v>
      </c>
      <c r="F181" s="168"/>
    </row>
    <row r="182" spans="1:6" ht="12.75">
      <c r="A182" s="166"/>
      <c r="B182" s="167"/>
      <c r="C182" s="168" t="s">
        <v>1187</v>
      </c>
      <c r="D182" s="169" t="s">
        <v>1181</v>
      </c>
      <c r="E182" s="587">
        <v>11192188</v>
      </c>
      <c r="F182" s="168"/>
    </row>
    <row r="183" spans="1:6" ht="12.75">
      <c r="A183" s="166"/>
      <c r="B183" s="167"/>
      <c r="C183" s="168" t="s">
        <v>1186</v>
      </c>
      <c r="D183" s="169" t="s">
        <v>1182</v>
      </c>
      <c r="E183" s="587">
        <v>1980002</v>
      </c>
      <c r="F183" s="168"/>
    </row>
    <row r="184" spans="1:6" ht="12.75">
      <c r="A184" s="166"/>
      <c r="B184" s="167"/>
      <c r="C184" s="168" t="s">
        <v>252</v>
      </c>
      <c r="D184" s="169" t="s">
        <v>1183</v>
      </c>
      <c r="E184" s="587">
        <v>2668000</v>
      </c>
      <c r="F184" s="168"/>
    </row>
    <row r="185" spans="1:6" ht="12.75">
      <c r="A185" s="166"/>
      <c r="B185" s="167"/>
      <c r="C185" s="168" t="s">
        <v>1188</v>
      </c>
      <c r="D185" s="169" t="s">
        <v>1184</v>
      </c>
      <c r="E185" s="587">
        <v>5338243</v>
      </c>
      <c r="F185" s="168"/>
    </row>
    <row r="186" spans="1:6" ht="12.75">
      <c r="A186" s="166"/>
      <c r="B186" s="167"/>
      <c r="C186" s="168" t="s">
        <v>273</v>
      </c>
      <c r="D186" s="169" t="s">
        <v>1185</v>
      </c>
      <c r="E186" s="587">
        <v>96791</v>
      </c>
      <c r="F186" s="168"/>
    </row>
    <row r="187" spans="1:6" ht="12.75">
      <c r="A187" s="166"/>
      <c r="B187" s="167"/>
      <c r="C187" s="168" t="s">
        <v>312</v>
      </c>
      <c r="D187" s="169" t="s">
        <v>1001</v>
      </c>
      <c r="E187" s="587">
        <v>3998287</v>
      </c>
      <c r="F187" s="168"/>
    </row>
    <row r="188" spans="1:6" ht="12.75">
      <c r="A188" s="166"/>
      <c r="B188" s="167" t="s">
        <v>1372</v>
      </c>
      <c r="C188" s="168"/>
      <c r="D188" s="169" t="s">
        <v>943</v>
      </c>
      <c r="E188" s="587">
        <v>6028886</v>
      </c>
      <c r="F188" s="168"/>
    </row>
    <row r="189" spans="1:6" ht="12.75">
      <c r="A189" s="166"/>
      <c r="B189" s="167"/>
      <c r="C189" s="168" t="s">
        <v>618</v>
      </c>
      <c r="D189" s="169"/>
      <c r="E189" s="168"/>
      <c r="F189" s="168">
        <v>25750859</v>
      </c>
    </row>
    <row r="190" spans="1:6" s="254" customFormat="1" ht="12.75">
      <c r="A190" s="588"/>
      <c r="B190" s="252" t="s">
        <v>729</v>
      </c>
      <c r="C190" s="252"/>
      <c r="D190" s="589" t="s">
        <v>558</v>
      </c>
      <c r="E190" s="253">
        <v>1319088</v>
      </c>
      <c r="F190" s="253"/>
    </row>
    <row r="191" spans="1:6" s="254" customFormat="1" ht="12.75">
      <c r="A191" s="588"/>
      <c r="B191" s="252" t="s">
        <v>730</v>
      </c>
      <c r="C191" s="252"/>
      <c r="D191" s="589" t="s">
        <v>556</v>
      </c>
      <c r="E191" s="253">
        <v>19000000</v>
      </c>
      <c r="F191" s="253"/>
    </row>
    <row r="192" spans="1:6" s="254" customFormat="1" ht="12.75">
      <c r="A192" s="588"/>
      <c r="B192" s="252" t="s">
        <v>552</v>
      </c>
      <c r="C192" s="252"/>
      <c r="D192" s="589" t="s">
        <v>560</v>
      </c>
      <c r="E192" s="253"/>
      <c r="F192" s="253">
        <v>2443</v>
      </c>
    </row>
    <row r="193" spans="1:6" s="254" customFormat="1" ht="12.75">
      <c r="A193" s="588"/>
      <c r="B193" s="252" t="s">
        <v>728</v>
      </c>
      <c r="C193" s="252"/>
      <c r="D193" s="589" t="s">
        <v>1214</v>
      </c>
      <c r="E193" s="253">
        <v>1514951</v>
      </c>
      <c r="F193" s="253"/>
    </row>
    <row r="194" spans="1:6" s="254" customFormat="1" ht="12.75">
      <c r="A194" s="256"/>
      <c r="B194" s="257" t="s">
        <v>965</v>
      </c>
      <c r="C194" s="258"/>
      <c r="D194" s="259" t="s">
        <v>1215</v>
      </c>
      <c r="E194" s="258"/>
      <c r="F194" s="258">
        <v>78450</v>
      </c>
    </row>
    <row r="195" spans="1:6" s="254" customFormat="1" ht="12.75">
      <c r="A195" s="256"/>
      <c r="B195" s="257" t="s">
        <v>966</v>
      </c>
      <c r="C195" s="258"/>
      <c r="D195" s="259" t="s">
        <v>1215</v>
      </c>
      <c r="E195" s="258">
        <v>2018</v>
      </c>
      <c r="F195" s="258"/>
    </row>
    <row r="196" spans="1:6" s="254" customFormat="1" ht="12.75">
      <c r="A196" s="588"/>
      <c r="B196" s="252" t="s">
        <v>553</v>
      </c>
      <c r="C196" s="252"/>
      <c r="D196" s="589" t="s">
        <v>1211</v>
      </c>
      <c r="E196" s="253">
        <v>230</v>
      </c>
      <c r="F196" s="253"/>
    </row>
    <row r="197" spans="1:6" s="254" customFormat="1" ht="12.75">
      <c r="A197" s="588"/>
      <c r="B197" s="252" t="s">
        <v>554</v>
      </c>
      <c r="C197" s="252"/>
      <c r="D197" s="589" t="s">
        <v>1212</v>
      </c>
      <c r="E197" s="253"/>
      <c r="F197" s="253">
        <v>20</v>
      </c>
    </row>
    <row r="198" spans="1:7" s="254" customFormat="1" ht="12.75">
      <c r="A198" s="588"/>
      <c r="B198" s="252" t="s">
        <v>1360</v>
      </c>
      <c r="C198" s="252"/>
      <c r="D198" s="589" t="s">
        <v>343</v>
      </c>
      <c r="E198" s="253">
        <v>714362</v>
      </c>
      <c r="F198" s="253"/>
      <c r="G198" s="255"/>
    </row>
    <row r="199" spans="1:7" s="254" customFormat="1" ht="12.75">
      <c r="A199" s="588"/>
      <c r="B199" s="252" t="s">
        <v>1361</v>
      </c>
      <c r="C199" s="252"/>
      <c r="D199" s="589" t="s">
        <v>343</v>
      </c>
      <c r="E199" s="253">
        <v>97421</v>
      </c>
      <c r="F199" s="253"/>
      <c r="G199" s="255"/>
    </row>
    <row r="200" spans="1:7" s="254" customFormat="1" ht="12.75">
      <c r="A200" s="588"/>
      <c r="B200" s="252" t="s">
        <v>1362</v>
      </c>
      <c r="C200" s="252"/>
      <c r="D200" s="589" t="s">
        <v>343</v>
      </c>
      <c r="E200" s="253">
        <v>358488</v>
      </c>
      <c r="F200" s="253"/>
      <c r="G200" s="255"/>
    </row>
    <row r="201" spans="1:7" s="191" customFormat="1" ht="12.75">
      <c r="A201" s="172"/>
      <c r="B201" s="167"/>
      <c r="C201" s="167"/>
      <c r="D201" s="173"/>
      <c r="E201" s="168"/>
      <c r="F201" s="168"/>
      <c r="G201" s="590"/>
    </row>
    <row r="202" spans="1:7" s="191" customFormat="1" ht="12.75">
      <c r="A202" s="172"/>
      <c r="B202" s="591" t="s">
        <v>591</v>
      </c>
      <c r="C202" s="167"/>
      <c r="D202" s="173" t="s">
        <v>585</v>
      </c>
      <c r="E202" s="168">
        <v>237473</v>
      </c>
      <c r="F202" s="168"/>
      <c r="G202" s="590"/>
    </row>
    <row r="203" spans="1:7" s="191" customFormat="1" ht="12.75">
      <c r="A203" s="172"/>
      <c r="B203" s="591" t="s">
        <v>592</v>
      </c>
      <c r="C203" s="167"/>
      <c r="D203" s="592" t="s">
        <v>587</v>
      </c>
      <c r="E203" s="168">
        <v>4963241</v>
      </c>
      <c r="F203" s="168"/>
      <c r="G203" s="590"/>
    </row>
    <row r="204" spans="1:7" s="191" customFormat="1" ht="12.75">
      <c r="A204" s="172"/>
      <c r="B204" s="591" t="s">
        <v>593</v>
      </c>
      <c r="C204" s="237"/>
      <c r="D204" s="194" t="s">
        <v>594</v>
      </c>
      <c r="E204" s="164">
        <v>833333</v>
      </c>
      <c r="F204" s="168"/>
      <c r="G204" s="590"/>
    </row>
    <row r="205" spans="1:7" s="191" customFormat="1" ht="12.75">
      <c r="A205" s="172"/>
      <c r="B205" s="167" t="s">
        <v>595</v>
      </c>
      <c r="C205" s="167"/>
      <c r="D205" s="173"/>
      <c r="E205" s="157">
        <v>5632511</v>
      </c>
      <c r="F205" s="168"/>
      <c r="G205" s="590"/>
    </row>
    <row r="206" spans="1:7" s="191" customFormat="1" ht="12.75">
      <c r="A206" s="172"/>
      <c r="B206" s="578" t="s">
        <v>596</v>
      </c>
      <c r="C206" s="63"/>
      <c r="D206" s="66" t="s">
        <v>715</v>
      </c>
      <c r="E206" s="577"/>
      <c r="F206" s="577">
        <v>0</v>
      </c>
      <c r="G206" s="590"/>
    </row>
    <row r="207" spans="1:6" ht="12.75">
      <c r="A207" s="593" t="s">
        <v>123</v>
      </c>
      <c r="B207" s="193"/>
      <c r="C207" s="164"/>
      <c r="D207" s="169"/>
      <c r="E207" s="168"/>
      <c r="F207" s="168"/>
    </row>
    <row r="208" spans="1:6" ht="12.75">
      <c r="A208" s="192"/>
      <c r="B208" s="193" t="s">
        <v>300</v>
      </c>
      <c r="C208" s="164"/>
      <c r="D208" s="169" t="s">
        <v>1004</v>
      </c>
      <c r="E208" s="168">
        <v>617535</v>
      </c>
      <c r="F208" s="168"/>
    </row>
    <row r="209" spans="1:6" ht="12.75">
      <c r="A209" s="594" t="s">
        <v>1373</v>
      </c>
      <c r="B209" s="167"/>
      <c r="C209" s="168"/>
      <c r="D209" s="169"/>
      <c r="E209" s="235"/>
      <c r="F209" s="235"/>
    </row>
    <row r="210" spans="1:6" ht="12.75">
      <c r="A210" s="166"/>
      <c r="B210" s="167" t="s">
        <v>946</v>
      </c>
      <c r="C210" s="168"/>
      <c r="D210" s="169" t="s">
        <v>1397</v>
      </c>
      <c r="E210" s="235"/>
      <c r="F210" s="595">
        <v>405999</v>
      </c>
    </row>
    <row r="211" spans="1:6" ht="12.75">
      <c r="A211" s="166"/>
      <c r="B211" s="167" t="s">
        <v>947</v>
      </c>
      <c r="C211" s="168"/>
      <c r="D211" s="169" t="s">
        <v>1397</v>
      </c>
      <c r="E211" s="235"/>
      <c r="F211" s="595">
        <v>1673913</v>
      </c>
    </row>
    <row r="212" spans="1:6" ht="12.75">
      <c r="A212" s="166"/>
      <c r="B212" s="167" t="s">
        <v>948</v>
      </c>
      <c r="C212" s="168"/>
      <c r="D212" s="169" t="s">
        <v>1397</v>
      </c>
      <c r="E212" s="235"/>
      <c r="F212" s="595">
        <v>250208</v>
      </c>
    </row>
    <row r="213" spans="1:6" ht="12.75">
      <c r="A213" s="166"/>
      <c r="B213" s="167" t="s">
        <v>949</v>
      </c>
      <c r="C213" s="168"/>
      <c r="D213" s="169" t="s">
        <v>351</v>
      </c>
      <c r="E213" s="235"/>
      <c r="F213" s="595">
        <v>3642710</v>
      </c>
    </row>
    <row r="214" spans="1:6" ht="12.75">
      <c r="A214" s="166"/>
      <c r="B214" s="167" t="s">
        <v>598</v>
      </c>
      <c r="C214" s="168"/>
      <c r="D214" s="169" t="s">
        <v>686</v>
      </c>
      <c r="E214" s="235"/>
      <c r="F214" s="595">
        <v>13796059</v>
      </c>
    </row>
    <row r="215" spans="1:6" ht="12.75">
      <c r="A215" s="166"/>
      <c r="B215" s="167" t="s">
        <v>508</v>
      </c>
      <c r="C215" s="168"/>
      <c r="D215" s="596" t="s">
        <v>687</v>
      </c>
      <c r="E215" s="235"/>
      <c r="F215" s="595">
        <v>1001572</v>
      </c>
    </row>
    <row r="216" spans="1:6" ht="12.75">
      <c r="A216" s="166"/>
      <c r="B216" s="591" t="s">
        <v>592</v>
      </c>
      <c r="C216" s="168"/>
      <c r="D216" s="596" t="s">
        <v>587</v>
      </c>
      <c r="E216" s="164">
        <v>18095357</v>
      </c>
      <c r="F216" s="595"/>
    </row>
    <row r="217" spans="1:6" ht="12.75">
      <c r="A217" s="166"/>
      <c r="B217" s="591" t="s">
        <v>599</v>
      </c>
      <c r="C217" s="167"/>
      <c r="D217" s="173" t="s">
        <v>1208</v>
      </c>
      <c r="E217" s="157">
        <v>2027981</v>
      </c>
      <c r="F217" s="595"/>
    </row>
    <row r="218" spans="1:6" ht="12.75">
      <c r="A218" s="166"/>
      <c r="B218" s="591" t="s">
        <v>600</v>
      </c>
      <c r="C218" s="167"/>
      <c r="D218" s="173" t="s">
        <v>89</v>
      </c>
      <c r="E218" s="157"/>
      <c r="F218" s="157">
        <v>11000382</v>
      </c>
    </row>
    <row r="219" spans="1:6" ht="12.75">
      <c r="A219" s="166"/>
      <c r="B219" s="576" t="s">
        <v>1067</v>
      </c>
      <c r="C219" s="63"/>
      <c r="D219" s="66" t="s">
        <v>1068</v>
      </c>
      <c r="E219" s="577">
        <v>20642348</v>
      </c>
      <c r="F219" s="595"/>
    </row>
    <row r="220" spans="1:6" ht="12.75">
      <c r="A220" s="166"/>
      <c r="B220" s="578" t="s">
        <v>512</v>
      </c>
      <c r="C220" s="63"/>
      <c r="D220" s="66" t="s">
        <v>571</v>
      </c>
      <c r="E220" s="579"/>
      <c r="F220" s="595">
        <v>6863601</v>
      </c>
    </row>
    <row r="221" spans="1:6" ht="12.75">
      <c r="A221" s="166"/>
      <c r="B221" s="576" t="s">
        <v>601</v>
      </c>
      <c r="C221" s="63"/>
      <c r="D221" s="217" t="s">
        <v>576</v>
      </c>
      <c r="E221" s="579"/>
      <c r="F221" s="595">
        <v>31108686</v>
      </c>
    </row>
    <row r="222" spans="1:6" ht="12.75">
      <c r="A222" s="166"/>
      <c r="B222" s="576" t="s">
        <v>602</v>
      </c>
      <c r="C222" s="63"/>
      <c r="D222" s="217" t="s">
        <v>576</v>
      </c>
      <c r="E222" s="579"/>
      <c r="F222" s="595">
        <v>217192793.83</v>
      </c>
    </row>
    <row r="223" spans="1:6" ht="12.75">
      <c r="A223" s="166"/>
      <c r="B223" s="578" t="s">
        <v>603</v>
      </c>
      <c r="C223" s="63"/>
      <c r="D223" s="217" t="s">
        <v>604</v>
      </c>
      <c r="E223" s="579"/>
      <c r="F223" s="595">
        <v>14127009</v>
      </c>
    </row>
    <row r="224" spans="1:9" ht="12.75">
      <c r="A224" s="166"/>
      <c r="B224" s="167" t="s">
        <v>606</v>
      </c>
      <c r="C224" s="168"/>
      <c r="D224" s="596" t="s">
        <v>569</v>
      </c>
      <c r="E224" s="235"/>
      <c r="F224" s="595">
        <v>245833</v>
      </c>
      <c r="H224" s="191"/>
      <c r="I224" s="191"/>
    </row>
    <row r="225" spans="1:6" ht="12.75">
      <c r="A225" s="166"/>
      <c r="B225" s="167" t="s">
        <v>607</v>
      </c>
      <c r="C225" s="168"/>
      <c r="D225" s="596"/>
      <c r="E225" s="164">
        <v>25750859</v>
      </c>
      <c r="F225" s="595"/>
    </row>
    <row r="226" spans="1:6" ht="12.75">
      <c r="A226" s="166"/>
      <c r="B226" s="576" t="s">
        <v>608</v>
      </c>
      <c r="C226" s="168"/>
      <c r="D226" s="169" t="s">
        <v>588</v>
      </c>
      <c r="E226" s="235"/>
      <c r="F226" s="595">
        <v>12920176</v>
      </c>
    </row>
    <row r="227" spans="1:6" ht="12.75">
      <c r="A227" s="166"/>
      <c r="B227" s="167" t="s">
        <v>609</v>
      </c>
      <c r="C227" s="168"/>
      <c r="D227" s="169"/>
      <c r="E227" s="235"/>
      <c r="F227" s="299">
        <v>5632511</v>
      </c>
    </row>
    <row r="228" spans="1:6" ht="12.75">
      <c r="A228" s="593" t="s">
        <v>125</v>
      </c>
      <c r="B228" s="193"/>
      <c r="C228" s="164"/>
      <c r="D228" s="169"/>
      <c r="E228" s="168"/>
      <c r="F228" s="168"/>
    </row>
    <row r="229" spans="1:6" ht="12.75">
      <c r="A229" s="192"/>
      <c r="B229" s="597" t="s">
        <v>610</v>
      </c>
      <c r="C229" s="164"/>
      <c r="D229" s="194" t="s">
        <v>594</v>
      </c>
      <c r="E229" s="168"/>
      <c r="F229" s="168">
        <v>233333</v>
      </c>
    </row>
    <row r="230" spans="1:6" ht="12.75">
      <c r="A230" s="166"/>
      <c r="B230" s="167" t="s">
        <v>611</v>
      </c>
      <c r="C230" s="168"/>
      <c r="D230" s="169" t="s">
        <v>943</v>
      </c>
      <c r="E230" s="168"/>
      <c r="F230" s="168">
        <v>1688089</v>
      </c>
    </row>
    <row r="231" spans="1:6" ht="12.75">
      <c r="A231" s="166"/>
      <c r="B231" s="167" t="s">
        <v>612</v>
      </c>
      <c r="C231" s="168"/>
      <c r="D231" s="169" t="s">
        <v>1004</v>
      </c>
      <c r="E231" s="168">
        <v>36400</v>
      </c>
      <c r="F231" s="168"/>
    </row>
    <row r="232" spans="1:6" ht="12.75">
      <c r="A232" s="593" t="s">
        <v>127</v>
      </c>
      <c r="B232" s="193"/>
      <c r="C232" s="164"/>
      <c r="D232" s="169"/>
      <c r="E232" s="168"/>
      <c r="F232" s="168"/>
    </row>
    <row r="233" spans="1:6" ht="12.75">
      <c r="A233" s="192"/>
      <c r="B233" s="193" t="s">
        <v>128</v>
      </c>
      <c r="C233" s="164"/>
      <c r="D233" s="194"/>
      <c r="E233" s="164"/>
      <c r="F233" s="164"/>
    </row>
    <row r="234" spans="1:6" ht="12.75">
      <c r="A234" s="192"/>
      <c r="B234" s="193"/>
      <c r="C234" s="598" t="s">
        <v>613</v>
      </c>
      <c r="D234" s="194" t="s">
        <v>1005</v>
      </c>
      <c r="E234" s="164">
        <v>269718</v>
      </c>
      <c r="F234" s="164"/>
    </row>
    <row r="235" spans="1:6" ht="12.75">
      <c r="A235" s="192"/>
      <c r="B235" s="193"/>
      <c r="C235" s="591" t="s">
        <v>592</v>
      </c>
      <c r="D235" s="592" t="s">
        <v>587</v>
      </c>
      <c r="E235" s="164"/>
      <c r="F235" s="164">
        <f>9354873-3441870</f>
        <v>5913003</v>
      </c>
    </row>
    <row r="236" spans="1:6" ht="12.75">
      <c r="A236" s="593" t="s">
        <v>140</v>
      </c>
      <c r="B236" s="193"/>
      <c r="C236" s="591"/>
      <c r="D236" s="592"/>
      <c r="E236" s="164"/>
      <c r="F236" s="164"/>
    </row>
    <row r="237" spans="1:6" ht="12.75">
      <c r="A237" s="166"/>
      <c r="B237" s="167" t="s">
        <v>1374</v>
      </c>
      <c r="C237" s="168"/>
      <c r="D237" s="169" t="s">
        <v>1180</v>
      </c>
      <c r="E237" s="168"/>
      <c r="F237" s="168">
        <v>200000</v>
      </c>
    </row>
    <row r="238" spans="1:6" ht="12.75">
      <c r="A238" s="166"/>
      <c r="B238" s="167"/>
      <c r="C238" s="168"/>
      <c r="D238" s="168"/>
      <c r="E238" s="168"/>
      <c r="F238" s="168"/>
    </row>
    <row r="239" spans="1:6" s="191" customFormat="1" ht="12.75">
      <c r="A239" s="711" t="s">
        <v>480</v>
      </c>
      <c r="B239" s="712"/>
      <c r="C239" s="713"/>
      <c r="D239" s="713"/>
      <c r="E239" s="713"/>
      <c r="F239" s="713"/>
    </row>
    <row r="240" spans="1:7" ht="12.75">
      <c r="A240" s="166"/>
      <c r="B240" s="167" t="s">
        <v>1399</v>
      </c>
      <c r="C240" s="168"/>
      <c r="D240" s="169" t="s">
        <v>519</v>
      </c>
      <c r="E240" s="168">
        <f>1000687+385107</f>
        <v>1385794</v>
      </c>
      <c r="F240" s="168"/>
      <c r="G240" s="203"/>
    </row>
    <row r="241" spans="1:6" ht="12.75">
      <c r="A241" s="192" t="s">
        <v>123</v>
      </c>
      <c r="B241" s="193"/>
      <c r="C241" s="164"/>
      <c r="D241" s="169"/>
      <c r="E241" s="168"/>
      <c r="F241" s="168"/>
    </row>
    <row r="242" spans="1:8" ht="12.75">
      <c r="A242" s="192"/>
      <c r="B242" s="193"/>
      <c r="C242" s="164" t="s">
        <v>300</v>
      </c>
      <c r="D242" s="169" t="s">
        <v>520</v>
      </c>
      <c r="E242" s="168"/>
      <c r="F242" s="168">
        <f>I41</f>
        <v>2983770.6780000003</v>
      </c>
      <c r="H242" s="203" t="s">
        <v>843</v>
      </c>
    </row>
    <row r="243" spans="1:9" ht="12.75">
      <c r="A243" s="192"/>
      <c r="B243" s="193"/>
      <c r="C243" s="164" t="s">
        <v>1384</v>
      </c>
      <c r="D243" s="194" t="s">
        <v>521</v>
      </c>
      <c r="E243" s="164">
        <v>269059</v>
      </c>
      <c r="F243" s="164"/>
      <c r="H243" s="203" t="s">
        <v>842</v>
      </c>
      <c r="I243" s="85">
        <v>9530560.71</v>
      </c>
    </row>
    <row r="244" spans="1:8" ht="12.75">
      <c r="A244" s="192"/>
      <c r="B244" s="193"/>
      <c r="C244" s="164"/>
      <c r="D244" s="245"/>
      <c r="E244" s="164"/>
      <c r="F244" s="164"/>
      <c r="H244" s="203"/>
    </row>
    <row r="245" spans="1:8" ht="12.75">
      <c r="A245" s="192"/>
      <c r="B245" s="193"/>
      <c r="C245" s="164"/>
      <c r="D245" s="245"/>
      <c r="E245" s="164"/>
      <c r="F245" s="164"/>
      <c r="H245" s="203"/>
    </row>
    <row r="246" spans="1:10" ht="12.75">
      <c r="A246" s="192"/>
      <c r="B246" s="193"/>
      <c r="C246" s="164"/>
      <c r="D246" s="169"/>
      <c r="E246" s="164"/>
      <c r="F246" s="164"/>
      <c r="H246" s="349"/>
      <c r="I246" s="247"/>
      <c r="J246" s="349"/>
    </row>
    <row r="247" spans="1:10" ht="12.75">
      <c r="A247" s="240" t="s">
        <v>134</v>
      </c>
      <c r="B247" s="241"/>
      <c r="C247" s="242"/>
      <c r="D247" s="250"/>
      <c r="E247" s="229">
        <f>SUM(E66:E246)</f>
        <v>235451488</v>
      </c>
      <c r="F247" s="229">
        <f>SUM(F66:F246)</f>
        <v>681720091.508</v>
      </c>
      <c r="H247" s="247"/>
      <c r="I247" s="247"/>
      <c r="J247" s="247"/>
    </row>
    <row r="248" spans="1:10" ht="12.75">
      <c r="A248" s="166"/>
      <c r="B248" s="167"/>
      <c r="C248" s="168"/>
      <c r="D248" s="168"/>
      <c r="E248" s="299"/>
      <c r="F248" s="299"/>
      <c r="H248" s="191"/>
      <c r="I248" s="191"/>
      <c r="J248" s="191"/>
    </row>
    <row r="249" spans="1:6" ht="12.75">
      <c r="A249" s="166"/>
      <c r="B249" s="167"/>
      <c r="C249" s="168"/>
      <c r="D249" s="168"/>
      <c r="E249" s="168"/>
      <c r="F249" s="168"/>
    </row>
    <row r="250" spans="1:6" ht="12.75">
      <c r="A250" s="192"/>
      <c r="B250" s="193" t="s">
        <v>138</v>
      </c>
      <c r="C250" s="164"/>
      <c r="D250" s="168"/>
      <c r="E250" s="168"/>
      <c r="F250" s="168"/>
    </row>
    <row r="251" spans="1:6" ht="12.75">
      <c r="A251" s="192"/>
      <c r="B251" s="193" t="s">
        <v>317</v>
      </c>
      <c r="C251" s="164"/>
      <c r="D251" s="168"/>
      <c r="E251" s="168"/>
      <c r="F251" s="168"/>
    </row>
    <row r="252" spans="1:6" ht="12.75">
      <c r="A252" s="192"/>
      <c r="B252" s="193" t="s">
        <v>46</v>
      </c>
      <c r="C252" s="164"/>
      <c r="D252" s="194"/>
      <c r="E252" s="164">
        <f>IF('Con P&amp;L'!BJ35&lt;0,-'Con P&amp;L'!BJ35,0)</f>
        <v>0</v>
      </c>
      <c r="F252" s="164">
        <f>IF('Con P&amp;L'!BJ35&gt;0,-'Con P&amp;L'!BJ35,0)</f>
        <v>0</v>
      </c>
    </row>
    <row r="253" spans="1:6" ht="12.75">
      <c r="A253" s="166"/>
      <c r="B253" s="167"/>
      <c r="C253" s="168"/>
      <c r="D253" s="168"/>
      <c r="E253" s="235"/>
      <c r="F253" s="235"/>
    </row>
    <row r="254" spans="1:6" ht="12.75">
      <c r="A254" s="240" t="s">
        <v>139</v>
      </c>
      <c r="B254" s="241"/>
      <c r="C254" s="242"/>
      <c r="D254" s="250"/>
      <c r="E254" s="229">
        <f>SUM(E250:E253)</f>
        <v>0</v>
      </c>
      <c r="F254" s="229">
        <f>SUM(F250:F253)</f>
        <v>0</v>
      </c>
    </row>
    <row r="255" spans="1:6" ht="12.75">
      <c r="A255" s="166"/>
      <c r="B255" s="167"/>
      <c r="C255" s="168"/>
      <c r="D255" s="168"/>
      <c r="E255" s="235"/>
      <c r="F255" s="235"/>
    </row>
    <row r="256" spans="1:6" ht="12.75">
      <c r="A256" s="166"/>
      <c r="B256" s="167"/>
      <c r="C256" s="168"/>
      <c r="D256" s="168"/>
      <c r="E256" s="168"/>
      <c r="F256" s="168"/>
    </row>
    <row r="257" spans="1:6" ht="12.75">
      <c r="A257" s="192" t="s">
        <v>140</v>
      </c>
      <c r="B257" s="193"/>
      <c r="C257" s="164"/>
      <c r="D257" s="168"/>
      <c r="E257" s="168"/>
      <c r="F257" s="168"/>
    </row>
    <row r="258" spans="1:6" ht="12.75">
      <c r="A258" s="192"/>
      <c r="B258" s="193" t="s">
        <v>141</v>
      </c>
      <c r="C258" s="164"/>
      <c r="D258" s="169"/>
      <c r="E258" s="168"/>
      <c r="F258" s="168"/>
    </row>
    <row r="259" spans="1:6" ht="12.75">
      <c r="A259" s="166"/>
      <c r="B259" s="167"/>
      <c r="C259" s="168"/>
      <c r="D259" s="168"/>
      <c r="E259" s="168"/>
      <c r="F259" s="168"/>
    </row>
    <row r="260" spans="1:6" ht="12.75">
      <c r="A260" s="166"/>
      <c r="B260" s="167"/>
      <c r="C260" s="168"/>
      <c r="D260" s="168"/>
      <c r="E260" s="235"/>
      <c r="F260" s="235"/>
    </row>
    <row r="261" spans="1:6" ht="12.75">
      <c r="A261" s="240" t="s">
        <v>142</v>
      </c>
      <c r="B261" s="241"/>
      <c r="C261" s="242"/>
      <c r="D261" s="250"/>
      <c r="E261" s="229">
        <f>SUM(E257:E260)</f>
        <v>0</v>
      </c>
      <c r="F261" s="229">
        <f>SUM(F257:F260)</f>
        <v>0</v>
      </c>
    </row>
  </sheetData>
  <printOptions/>
  <pageMargins left="0.7480314960629921" right="0.7480314960629921" top="0.5118110236220472" bottom="0.5118110236220472" header="0.2362204724409449" footer="0.2362204724409449"/>
  <pageSetup horizontalDpi="600" verticalDpi="600" orientation="portrait" paperSize="9" scale="75" r:id="rId1"/>
  <headerFooter alignWithMargins="0">
    <oddFooter>&amp;L&amp;"Times New Roman,Regular"&amp;8&amp;F   &amp;A&amp;C&amp;"Times New Roman,Regular"&amp;8&amp;P&amp;R&amp;"Times New Roman,Regular"&amp;8&amp;F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4"/>
  <sheetViews>
    <sheetView view="pageBreakPreview" zoomScale="60" zoomScaleNormal="75" workbookViewId="0" topLeftCell="A930">
      <selection activeCell="F943" sqref="F943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.7109375" style="0" customWidth="1"/>
    <col min="4" max="4" width="5.7109375" style="0" customWidth="1"/>
    <col min="5" max="5" width="40.57421875" style="0" customWidth="1"/>
    <col min="6" max="6" width="17.57421875" style="0" bestFit="1" customWidth="1"/>
    <col min="7" max="7" width="3.7109375" style="0" customWidth="1"/>
    <col min="8" max="8" width="16.421875" style="0" customWidth="1"/>
    <col min="9" max="9" width="11.7109375" style="0" customWidth="1"/>
    <col min="10" max="10" width="13.7109375" style="0" customWidth="1"/>
  </cols>
  <sheetData>
    <row r="1" spans="1:8" ht="18.75">
      <c r="A1" s="175" t="s">
        <v>649</v>
      </c>
      <c r="C1" s="175"/>
      <c r="F1" s="180"/>
      <c r="G1" s="180"/>
      <c r="H1" s="180"/>
    </row>
    <row r="2" spans="1:8" ht="18.75">
      <c r="A2" s="175" t="s">
        <v>650</v>
      </c>
      <c r="C2" s="175"/>
      <c r="F2" s="180"/>
      <c r="G2" s="180"/>
      <c r="H2" s="180"/>
    </row>
    <row r="3" spans="1:8" ht="12.75">
      <c r="A3" s="176"/>
      <c r="F3" s="180"/>
      <c r="G3" s="180"/>
      <c r="H3" s="180"/>
    </row>
    <row r="4" spans="1:8" ht="12.75">
      <c r="A4" s="177" t="s">
        <v>651</v>
      </c>
      <c r="F4" s="680" t="s">
        <v>665</v>
      </c>
      <c r="G4" s="680"/>
      <c r="H4" s="680" t="s">
        <v>666</v>
      </c>
    </row>
    <row r="5" spans="1:8" ht="12.75">
      <c r="A5" s="177"/>
      <c r="F5" s="680"/>
      <c r="G5" s="680"/>
      <c r="H5" s="680"/>
    </row>
    <row r="6" spans="1:8" ht="12.75">
      <c r="A6" s="179"/>
      <c r="F6" s="611"/>
      <c r="G6" s="611"/>
      <c r="H6" s="611"/>
    </row>
    <row r="7" spans="1:8" ht="12.75">
      <c r="A7" s="719" t="s">
        <v>667</v>
      </c>
      <c r="B7" s="269"/>
      <c r="C7" s="269"/>
      <c r="D7" s="269"/>
      <c r="E7" s="269"/>
      <c r="F7" s="645"/>
      <c r="G7" s="645"/>
      <c r="H7" s="645"/>
    </row>
    <row r="8" spans="2:8" ht="12.75">
      <c r="B8" s="179"/>
      <c r="F8" s="611"/>
      <c r="G8" s="611"/>
      <c r="H8" s="611"/>
    </row>
    <row r="9" spans="2:8" ht="12.75">
      <c r="B9" s="176" t="s">
        <v>25</v>
      </c>
      <c r="D9" t="s">
        <v>279</v>
      </c>
      <c r="F9" s="611">
        <v>10000000</v>
      </c>
      <c r="G9" s="611"/>
      <c r="H9" s="611"/>
    </row>
    <row r="10" spans="2:8" ht="12.75">
      <c r="B10" s="176"/>
      <c r="D10" t="s">
        <v>668</v>
      </c>
      <c r="F10" s="611">
        <v>52771400</v>
      </c>
      <c r="G10" s="611"/>
      <c r="H10" s="611"/>
    </row>
    <row r="11" spans="2:8" ht="12.75">
      <c r="B11" s="176"/>
      <c r="D11" t="s">
        <v>53</v>
      </c>
      <c r="F11" s="611">
        <v>6928453</v>
      </c>
      <c r="G11" s="611"/>
      <c r="H11" s="611"/>
    </row>
    <row r="12" spans="2:8" ht="12.75">
      <c r="B12" s="176"/>
      <c r="E12" t="s">
        <v>669</v>
      </c>
      <c r="F12" s="611"/>
      <c r="G12" s="611"/>
      <c r="H12" s="611">
        <v>3729863</v>
      </c>
    </row>
    <row r="13" spans="2:8" ht="12.75">
      <c r="B13" s="176"/>
      <c r="E13" t="s">
        <v>670</v>
      </c>
      <c r="F13" s="611"/>
      <c r="G13" s="611"/>
      <c r="H13" s="611">
        <v>18469990</v>
      </c>
    </row>
    <row r="14" spans="2:8" ht="12.75">
      <c r="B14" s="176"/>
      <c r="E14" t="s">
        <v>671</v>
      </c>
      <c r="F14" s="611"/>
      <c r="G14" s="611"/>
      <c r="H14" s="611">
        <v>47500000</v>
      </c>
    </row>
    <row r="15" spans="2:8" ht="12.75">
      <c r="B15" s="176"/>
      <c r="F15" s="611"/>
      <c r="G15" s="611"/>
      <c r="H15" s="611"/>
    </row>
    <row r="16" spans="2:8" ht="12.75">
      <c r="B16" s="176"/>
      <c r="D16" s="181" t="s">
        <v>672</v>
      </c>
      <c r="F16" s="611"/>
      <c r="G16" s="611"/>
      <c r="H16" s="611"/>
    </row>
    <row r="17" spans="2:8" ht="12.75">
      <c r="B17" s="176"/>
      <c r="D17" s="181" t="s">
        <v>673</v>
      </c>
      <c r="F17" s="611"/>
      <c r="G17" s="611"/>
      <c r="H17" s="611"/>
    </row>
    <row r="18" spans="2:8" ht="12.75">
      <c r="B18" s="176"/>
      <c r="D18" s="182"/>
      <c r="F18" s="611"/>
      <c r="G18" s="611"/>
      <c r="H18" s="611"/>
    </row>
    <row r="19" spans="2:8" ht="12.75">
      <c r="B19" s="176"/>
      <c r="F19" s="611"/>
      <c r="G19" s="611"/>
      <c r="H19" s="611"/>
    </row>
    <row r="20" spans="2:9" ht="12.75">
      <c r="B20" s="176" t="s">
        <v>144</v>
      </c>
      <c r="D20" t="s">
        <v>42</v>
      </c>
      <c r="F20" s="611">
        <v>3025103</v>
      </c>
      <c r="G20" s="611"/>
      <c r="H20" s="611"/>
      <c r="I20" s="186"/>
    </row>
    <row r="21" spans="2:9" ht="12.75">
      <c r="B21" s="176"/>
      <c r="E21" t="s">
        <v>674</v>
      </c>
      <c r="F21" s="611"/>
      <c r="G21" s="611"/>
      <c r="H21" s="611">
        <v>3025103</v>
      </c>
      <c r="I21" s="212"/>
    </row>
    <row r="22" spans="2:8" ht="12.75">
      <c r="B22" s="176"/>
      <c r="F22" s="611"/>
      <c r="G22" s="611"/>
      <c r="H22" s="611"/>
    </row>
    <row r="23" spans="2:8" ht="12.75">
      <c r="B23" s="176"/>
      <c r="D23" t="s">
        <v>675</v>
      </c>
      <c r="F23" s="611"/>
      <c r="G23" s="611"/>
      <c r="H23" s="611"/>
    </row>
    <row r="24" spans="2:8" ht="12.75">
      <c r="B24" s="176"/>
      <c r="F24" s="611"/>
      <c r="G24" s="611"/>
      <c r="H24" s="611"/>
    </row>
    <row r="25" spans="2:8" ht="12.75">
      <c r="B25" s="176"/>
      <c r="F25" s="611"/>
      <c r="G25" s="611"/>
      <c r="H25" s="611"/>
    </row>
    <row r="26" spans="2:8" ht="12.75">
      <c r="B26" s="176" t="s">
        <v>147</v>
      </c>
      <c r="D26" t="s">
        <v>676</v>
      </c>
      <c r="F26" s="611">
        <v>259023</v>
      </c>
      <c r="G26" s="611"/>
      <c r="H26" s="611"/>
    </row>
    <row r="27" spans="2:8" ht="12.75">
      <c r="B27" s="176"/>
      <c r="E27" t="s">
        <v>674</v>
      </c>
      <c r="F27" s="611"/>
      <c r="G27" s="611"/>
      <c r="H27" s="611">
        <v>259023</v>
      </c>
    </row>
    <row r="28" spans="2:8" ht="12.75">
      <c r="B28" s="176"/>
      <c r="F28" s="611"/>
      <c r="G28" s="611"/>
      <c r="H28" s="611"/>
    </row>
    <row r="29" spans="2:8" ht="12.75">
      <c r="B29" s="176"/>
      <c r="D29" t="s">
        <v>677</v>
      </c>
      <c r="F29" s="611"/>
      <c r="G29" s="611"/>
      <c r="H29" s="611"/>
    </row>
    <row r="30" spans="2:8" ht="12.75">
      <c r="B30" s="176"/>
      <c r="D30" t="s">
        <v>678</v>
      </c>
      <c r="F30" s="611"/>
      <c r="G30" s="611"/>
      <c r="H30" s="611"/>
    </row>
    <row r="31" spans="2:8" ht="12.75">
      <c r="B31" s="176"/>
      <c r="F31" s="611"/>
      <c r="G31" s="611"/>
      <c r="H31" s="611"/>
    </row>
    <row r="32" spans="2:8" ht="12.75">
      <c r="B32" s="176"/>
      <c r="F32" s="611"/>
      <c r="G32" s="611"/>
      <c r="H32" s="611"/>
    </row>
    <row r="33" spans="2:8" ht="12.75">
      <c r="B33" s="176" t="s">
        <v>149</v>
      </c>
      <c r="D33" t="s">
        <v>676</v>
      </c>
      <c r="F33" s="611">
        <v>1778444</v>
      </c>
      <c r="G33" s="611"/>
      <c r="H33" s="611"/>
    </row>
    <row r="34" spans="2:9" ht="12.75">
      <c r="B34" s="176"/>
      <c r="D34" t="s">
        <v>670</v>
      </c>
      <c r="F34" s="611">
        <v>210000</v>
      </c>
      <c r="G34" s="611"/>
      <c r="H34" s="611"/>
      <c r="I34" s="212"/>
    </row>
    <row r="35" spans="2:8" ht="12.75">
      <c r="B35" s="176"/>
      <c r="E35" t="s">
        <v>679</v>
      </c>
      <c r="F35" s="611"/>
      <c r="G35" s="611"/>
      <c r="H35" s="611">
        <v>1988444</v>
      </c>
    </row>
    <row r="36" spans="2:10" ht="12.75">
      <c r="B36" s="176"/>
      <c r="F36" s="611"/>
      <c r="G36" s="611"/>
      <c r="H36" s="611"/>
      <c r="J36">
        <v>21000</v>
      </c>
    </row>
    <row r="37" spans="2:10" ht="12.75">
      <c r="B37" s="176"/>
      <c r="D37" t="s">
        <v>680</v>
      </c>
      <c r="F37" s="611"/>
      <c r="G37" s="611"/>
      <c r="H37" s="611"/>
      <c r="J37">
        <v>5</v>
      </c>
    </row>
    <row r="38" spans="2:10" ht="12.75">
      <c r="B38" s="176"/>
      <c r="D38" t="s">
        <v>681</v>
      </c>
      <c r="F38" s="611"/>
      <c r="G38" s="611"/>
      <c r="H38" s="611"/>
      <c r="J38">
        <f>12*J37</f>
        <v>60</v>
      </c>
    </row>
    <row r="39" spans="2:8" ht="12.75">
      <c r="B39" s="176"/>
      <c r="F39" s="611"/>
      <c r="G39" s="611"/>
      <c r="H39" s="611"/>
    </row>
    <row r="40" spans="2:10" ht="12.75">
      <c r="B40" s="176"/>
      <c r="F40" s="611"/>
      <c r="G40" s="611"/>
      <c r="H40" s="611"/>
      <c r="J40">
        <v>0.08</v>
      </c>
    </row>
    <row r="41" spans="2:10" ht="12.75">
      <c r="B41" s="176" t="s">
        <v>151</v>
      </c>
      <c r="D41" t="s">
        <v>688</v>
      </c>
      <c r="F41" s="611">
        <v>209379</v>
      </c>
      <c r="G41" s="611"/>
      <c r="H41" s="611"/>
      <c r="J41">
        <f>J36*J40*J37</f>
        <v>8400</v>
      </c>
    </row>
    <row r="42" spans="2:10" ht="12.75">
      <c r="B42" s="176"/>
      <c r="D42" t="s">
        <v>689</v>
      </c>
      <c r="F42" s="611">
        <v>546430</v>
      </c>
      <c r="G42" s="611"/>
      <c r="H42" s="611"/>
      <c r="J42">
        <f>(J36+J41)/J38</f>
        <v>490</v>
      </c>
    </row>
    <row r="43" spans="2:10" ht="12.75">
      <c r="B43" s="176"/>
      <c r="D43" t="s">
        <v>690</v>
      </c>
      <c r="F43" s="611">
        <v>163929</v>
      </c>
      <c r="G43" s="611"/>
      <c r="H43" s="611"/>
      <c r="J43">
        <f>699-J42</f>
        <v>209</v>
      </c>
    </row>
    <row r="44" spans="2:8" ht="12.75">
      <c r="B44" s="176"/>
      <c r="E44" t="s">
        <v>691</v>
      </c>
      <c r="F44" s="611"/>
      <c r="G44" s="611"/>
      <c r="H44" s="611">
        <v>209379</v>
      </c>
    </row>
    <row r="45" spans="2:8" ht="12.75">
      <c r="B45" s="176"/>
      <c r="E45" t="s">
        <v>55</v>
      </c>
      <c r="F45" s="611"/>
      <c r="G45" s="611"/>
      <c r="H45" s="611">
        <v>546430</v>
      </c>
    </row>
    <row r="46" spans="2:8" ht="12.75">
      <c r="B46" s="176"/>
      <c r="E46" t="s">
        <v>692</v>
      </c>
      <c r="F46" s="611"/>
      <c r="G46" s="611"/>
      <c r="H46" s="611">
        <v>163929</v>
      </c>
    </row>
    <row r="47" spans="2:8" ht="12.75">
      <c r="B47" s="176"/>
      <c r="F47" s="611"/>
      <c r="G47" s="611"/>
      <c r="H47" s="611"/>
    </row>
    <row r="48" spans="2:8" ht="12.75">
      <c r="B48" s="176"/>
      <c r="D48" t="s">
        <v>693</v>
      </c>
      <c r="F48" s="611"/>
      <c r="G48" s="611"/>
      <c r="H48" s="611"/>
    </row>
    <row r="49" spans="2:8" ht="12.75">
      <c r="B49" s="176"/>
      <c r="D49" t="s">
        <v>694</v>
      </c>
      <c r="F49" s="611"/>
      <c r="G49" s="611"/>
      <c r="H49" s="611"/>
    </row>
    <row r="50" spans="2:8" ht="12.75">
      <c r="B50" s="176"/>
      <c r="F50" s="611"/>
      <c r="G50" s="611"/>
      <c r="H50" s="611"/>
    </row>
    <row r="51" spans="2:8" ht="12.75">
      <c r="B51" s="176"/>
      <c r="F51" s="611"/>
      <c r="G51" s="611"/>
      <c r="H51" s="611"/>
    </row>
    <row r="52" spans="2:8" ht="12.75">
      <c r="B52" s="176" t="s">
        <v>162</v>
      </c>
      <c r="D52" t="s">
        <v>688</v>
      </c>
      <c r="F52" s="611">
        <v>156134</v>
      </c>
      <c r="G52" s="611"/>
      <c r="H52" s="611"/>
    </row>
    <row r="53" spans="2:8" ht="12.75">
      <c r="B53" s="176"/>
      <c r="D53" t="s">
        <v>689</v>
      </c>
      <c r="F53" s="611">
        <v>2619159</v>
      </c>
      <c r="G53" s="611"/>
      <c r="H53" s="611"/>
    </row>
    <row r="54" spans="2:8" ht="12.75">
      <c r="B54" s="176"/>
      <c r="D54" t="s">
        <v>690</v>
      </c>
      <c r="F54" s="611">
        <v>935748</v>
      </c>
      <c r="G54" s="611"/>
      <c r="H54" s="611"/>
    </row>
    <row r="55" spans="2:8" ht="12.75">
      <c r="B55" s="176"/>
      <c r="E55" t="s">
        <v>691</v>
      </c>
      <c r="F55" s="611"/>
      <c r="G55" s="611"/>
      <c r="H55" s="611">
        <v>156134</v>
      </c>
    </row>
    <row r="56" spans="2:8" ht="12.75">
      <c r="B56" s="176"/>
      <c r="E56" t="s">
        <v>55</v>
      </c>
      <c r="F56" s="611"/>
      <c r="G56" s="611"/>
      <c r="H56" s="611">
        <v>2619159</v>
      </c>
    </row>
    <row r="57" spans="2:8" ht="12.75">
      <c r="B57" s="176"/>
      <c r="E57" t="s">
        <v>692</v>
      </c>
      <c r="F57" s="611"/>
      <c r="G57" s="611"/>
      <c r="H57" s="611">
        <v>935748</v>
      </c>
    </row>
    <row r="58" spans="2:8" ht="12.75">
      <c r="B58" s="176"/>
      <c r="F58" s="611"/>
      <c r="G58" s="611"/>
      <c r="H58" s="611"/>
    </row>
    <row r="59" spans="2:8" ht="12.75">
      <c r="B59" s="176"/>
      <c r="D59" t="s">
        <v>693</v>
      </c>
      <c r="F59" s="611"/>
      <c r="G59" s="611"/>
      <c r="H59" s="611"/>
    </row>
    <row r="60" spans="2:8" ht="12.75">
      <c r="B60" s="176"/>
      <c r="D60" t="s">
        <v>695</v>
      </c>
      <c r="F60" s="611"/>
      <c r="G60" s="611"/>
      <c r="H60" s="611"/>
    </row>
    <row r="61" spans="2:8" ht="12.75">
      <c r="B61" s="176"/>
      <c r="F61" s="611"/>
      <c r="G61" s="611"/>
      <c r="H61" s="611"/>
    </row>
    <row r="62" spans="2:8" ht="12.75">
      <c r="B62" s="176"/>
      <c r="F62" s="611"/>
      <c r="G62" s="611"/>
      <c r="H62" s="611"/>
    </row>
    <row r="63" spans="2:8" ht="12.75">
      <c r="B63" s="176" t="s">
        <v>166</v>
      </c>
      <c r="D63" t="s">
        <v>688</v>
      </c>
      <c r="F63" s="611">
        <v>156134</v>
      </c>
      <c r="G63" s="611"/>
      <c r="H63" s="611"/>
    </row>
    <row r="64" spans="2:8" ht="12.75">
      <c r="B64" s="176"/>
      <c r="D64" t="s">
        <v>689</v>
      </c>
      <c r="F64" s="611">
        <v>738128</v>
      </c>
      <c r="G64" s="611"/>
      <c r="H64" s="611"/>
    </row>
    <row r="65" spans="2:8" ht="12.75">
      <c r="B65" s="176"/>
      <c r="D65" t="s">
        <v>690</v>
      </c>
      <c r="F65" s="611">
        <v>221439</v>
      </c>
      <c r="G65" s="611"/>
      <c r="H65" s="611"/>
    </row>
    <row r="66" spans="2:8" ht="12.75">
      <c r="B66" s="176"/>
      <c r="E66" t="s">
        <v>691</v>
      </c>
      <c r="F66" s="611"/>
      <c r="G66" s="611"/>
      <c r="H66" s="611">
        <v>156134</v>
      </c>
    </row>
    <row r="67" spans="2:8" ht="12.75">
      <c r="B67" s="176"/>
      <c r="E67" t="s">
        <v>55</v>
      </c>
      <c r="F67" s="611"/>
      <c r="G67" s="611"/>
      <c r="H67" s="611">
        <v>738128</v>
      </c>
    </row>
    <row r="68" spans="2:9" ht="12.75">
      <c r="B68" s="176"/>
      <c r="E68" t="s">
        <v>692</v>
      </c>
      <c r="F68" s="611"/>
      <c r="G68" s="611"/>
      <c r="H68" s="611">
        <v>221439</v>
      </c>
      <c r="I68" s="212"/>
    </row>
    <row r="69" spans="2:8" ht="12.75">
      <c r="B69" s="176"/>
      <c r="F69" s="611"/>
      <c r="G69" s="611"/>
      <c r="H69" s="611"/>
    </row>
    <row r="70" spans="2:8" ht="12.75">
      <c r="B70" s="176"/>
      <c r="D70" t="s">
        <v>693</v>
      </c>
      <c r="F70" s="611"/>
      <c r="G70" s="611"/>
      <c r="H70" s="611"/>
    </row>
    <row r="71" spans="2:8" ht="12.75">
      <c r="B71" s="176"/>
      <c r="D71" t="s">
        <v>696</v>
      </c>
      <c r="F71" s="611"/>
      <c r="G71" s="611"/>
      <c r="H71" s="611"/>
    </row>
    <row r="72" spans="2:8" ht="12.75">
      <c r="B72" s="176"/>
      <c r="F72" s="611"/>
      <c r="G72" s="611"/>
      <c r="H72" s="611"/>
    </row>
    <row r="73" spans="2:8" ht="12.75">
      <c r="B73" s="176"/>
      <c r="F73" s="611"/>
      <c r="G73" s="611"/>
      <c r="H73" s="611"/>
    </row>
    <row r="74" spans="2:8" ht="12.75">
      <c r="B74" s="176" t="s">
        <v>170</v>
      </c>
      <c r="D74" t="s">
        <v>689</v>
      </c>
      <c r="F74" s="611">
        <v>1109548</v>
      </c>
      <c r="G74" s="611"/>
      <c r="H74" s="611"/>
    </row>
    <row r="75" spans="2:8" ht="12.75">
      <c r="B75" s="176"/>
      <c r="D75" t="s">
        <v>690</v>
      </c>
      <c r="F75" s="611">
        <v>182864</v>
      </c>
      <c r="G75" s="611"/>
      <c r="H75" s="611"/>
    </row>
    <row r="76" spans="2:8" ht="12.75">
      <c r="B76" s="176"/>
      <c r="E76" t="s">
        <v>55</v>
      </c>
      <c r="F76" s="611"/>
      <c r="G76" s="611"/>
      <c r="H76" s="611">
        <v>1109548</v>
      </c>
    </row>
    <row r="77" spans="2:8" ht="12.75">
      <c r="B77" s="176"/>
      <c r="E77" t="s">
        <v>692</v>
      </c>
      <c r="F77" s="611"/>
      <c r="G77" s="611"/>
      <c r="H77" s="611">
        <v>182864</v>
      </c>
    </row>
    <row r="78" spans="2:8" ht="12.75">
      <c r="B78" s="176"/>
      <c r="F78" s="611"/>
      <c r="G78" s="611"/>
      <c r="H78" s="611"/>
    </row>
    <row r="79" spans="2:8" ht="12.75">
      <c r="B79" s="176"/>
      <c r="D79" t="s">
        <v>697</v>
      </c>
      <c r="F79" s="611"/>
      <c r="G79" s="611"/>
      <c r="H79" s="611"/>
    </row>
    <row r="80" spans="2:8" ht="12.75">
      <c r="B80" s="176"/>
      <c r="D80" t="s">
        <v>698</v>
      </c>
      <c r="F80" s="611"/>
      <c r="G80" s="611"/>
      <c r="H80" s="611"/>
    </row>
    <row r="81" spans="2:8" ht="12.75">
      <c r="B81" s="176"/>
      <c r="F81" s="611"/>
      <c r="G81" s="611"/>
      <c r="H81" s="611"/>
    </row>
    <row r="82" spans="2:8" ht="12.75">
      <c r="B82" s="176"/>
      <c r="F82" s="611"/>
      <c r="G82" s="611"/>
      <c r="H82" s="611"/>
    </row>
    <row r="83" spans="2:8" ht="12.75">
      <c r="B83" s="176" t="s">
        <v>174</v>
      </c>
      <c r="D83" t="s">
        <v>688</v>
      </c>
      <c r="F83" s="611">
        <v>156134</v>
      </c>
      <c r="G83" s="611"/>
      <c r="H83" s="611"/>
    </row>
    <row r="84" spans="2:8" ht="12.75">
      <c r="B84" s="176"/>
      <c r="D84" t="s">
        <v>689</v>
      </c>
      <c r="F84" s="611">
        <v>9641335</v>
      </c>
      <c r="G84" s="611"/>
      <c r="H84" s="611"/>
    </row>
    <row r="85" spans="2:8" ht="12.75">
      <c r="B85" s="176"/>
      <c r="D85" t="s">
        <v>690</v>
      </c>
      <c r="F85" s="611">
        <v>2892400</v>
      </c>
      <c r="G85" s="611"/>
      <c r="H85" s="611"/>
    </row>
    <row r="86" spans="2:8" ht="12.75">
      <c r="B86" s="176"/>
      <c r="E86" t="s">
        <v>691</v>
      </c>
      <c r="F86" s="611"/>
      <c r="G86" s="611"/>
      <c r="H86" s="611">
        <v>156134</v>
      </c>
    </row>
    <row r="87" spans="2:8" ht="12.75">
      <c r="B87" s="176"/>
      <c r="E87" t="s">
        <v>55</v>
      </c>
      <c r="F87" s="611"/>
      <c r="G87" s="611"/>
      <c r="H87" s="611">
        <v>9641335</v>
      </c>
    </row>
    <row r="88" spans="2:9" ht="12.75">
      <c r="B88" s="176"/>
      <c r="E88" t="s">
        <v>692</v>
      </c>
      <c r="F88" s="611"/>
      <c r="G88" s="611"/>
      <c r="H88" s="611">
        <v>2892400</v>
      </c>
      <c r="I88" s="212"/>
    </row>
    <row r="89" spans="2:8" ht="12.75">
      <c r="B89" s="176"/>
      <c r="F89" s="611"/>
      <c r="G89" s="611"/>
      <c r="H89" s="611"/>
    </row>
    <row r="90" spans="2:8" ht="12.75">
      <c r="B90" s="176"/>
      <c r="D90" t="s">
        <v>693</v>
      </c>
      <c r="F90" s="611"/>
      <c r="G90" s="611"/>
      <c r="H90" s="611"/>
    </row>
    <row r="91" spans="2:8" ht="12.75">
      <c r="B91" s="176"/>
      <c r="D91" t="s">
        <v>699</v>
      </c>
      <c r="F91" s="611"/>
      <c r="G91" s="611"/>
      <c r="H91" s="611"/>
    </row>
    <row r="92" spans="2:8" ht="12.75">
      <c r="B92" s="176"/>
      <c r="F92" s="611"/>
      <c r="G92" s="611"/>
      <c r="H92" s="611"/>
    </row>
    <row r="93" spans="2:8" ht="12.75">
      <c r="B93" s="183">
        <v>1998</v>
      </c>
      <c r="C93" s="184"/>
      <c r="D93" s="184"/>
      <c r="E93" s="184"/>
      <c r="F93" s="644"/>
      <c r="G93" s="644"/>
      <c r="H93" s="644"/>
    </row>
    <row r="94" spans="2:8" ht="12.75">
      <c r="B94" s="176"/>
      <c r="F94" s="611"/>
      <c r="G94" s="611"/>
      <c r="H94" s="611"/>
    </row>
    <row r="95" spans="2:8" ht="12.75">
      <c r="B95" s="176" t="s">
        <v>700</v>
      </c>
      <c r="D95" t="s">
        <v>688</v>
      </c>
      <c r="F95" s="611">
        <v>2243980</v>
      </c>
      <c r="G95" s="611"/>
      <c r="H95" s="611"/>
    </row>
    <row r="96" spans="2:8" ht="12.75">
      <c r="B96" s="176"/>
      <c r="D96" t="s">
        <v>55</v>
      </c>
      <c r="F96" s="611">
        <v>32718</v>
      </c>
      <c r="G96" s="611"/>
      <c r="H96" s="611"/>
    </row>
    <row r="97" spans="2:8" ht="12.75">
      <c r="B97" s="176"/>
      <c r="E97" t="s">
        <v>691</v>
      </c>
      <c r="F97" s="611"/>
      <c r="G97" s="611"/>
      <c r="H97" s="611">
        <v>2243980</v>
      </c>
    </row>
    <row r="98" spans="2:8" ht="12.75">
      <c r="B98" s="176"/>
      <c r="E98" t="s">
        <v>689</v>
      </c>
      <c r="F98" s="611"/>
      <c r="G98" s="611"/>
      <c r="H98" s="611">
        <v>32718</v>
      </c>
    </row>
    <row r="99" spans="2:8" ht="12.75">
      <c r="B99" s="176"/>
      <c r="F99" s="611"/>
      <c r="G99" s="611"/>
      <c r="H99" s="611"/>
    </row>
    <row r="100" spans="2:8" ht="12.75">
      <c r="B100" s="176"/>
      <c r="D100" t="s">
        <v>701</v>
      </c>
      <c r="F100" s="611"/>
      <c r="G100" s="611"/>
      <c r="H100" s="611"/>
    </row>
    <row r="101" spans="2:8" ht="12.75">
      <c r="B101" s="176"/>
      <c r="D101" t="s">
        <v>702</v>
      </c>
      <c r="F101" s="611"/>
      <c r="G101" s="611"/>
      <c r="H101" s="611"/>
    </row>
    <row r="102" spans="2:8" ht="12.75">
      <c r="B102" s="176"/>
      <c r="F102" s="611"/>
      <c r="G102" s="611"/>
      <c r="H102" s="611"/>
    </row>
    <row r="103" spans="2:8" ht="12.75">
      <c r="B103" s="176"/>
      <c r="F103" s="611"/>
      <c r="G103" s="611"/>
      <c r="H103" s="611"/>
    </row>
    <row r="104" spans="2:8" ht="12.75">
      <c r="B104" s="176" t="s">
        <v>703</v>
      </c>
      <c r="D104" t="s">
        <v>692</v>
      </c>
      <c r="F104" s="611">
        <v>9161</v>
      </c>
      <c r="G104" s="611"/>
      <c r="H104" s="611"/>
    </row>
    <row r="105" spans="2:9" ht="12.75">
      <c r="B105" s="176"/>
      <c r="D105" t="s">
        <v>690</v>
      </c>
      <c r="F105" s="611"/>
      <c r="G105" s="611"/>
      <c r="H105" s="611">
        <v>9161</v>
      </c>
      <c r="I105" s="212"/>
    </row>
    <row r="106" spans="2:8" ht="12.75">
      <c r="B106" s="176"/>
      <c r="F106" s="611"/>
      <c r="G106" s="611"/>
      <c r="H106" s="611"/>
    </row>
    <row r="107" spans="2:8" ht="12.75">
      <c r="B107" s="176"/>
      <c r="D107" t="s">
        <v>693</v>
      </c>
      <c r="F107" s="611"/>
      <c r="G107" s="611"/>
      <c r="H107" s="611"/>
    </row>
    <row r="108" spans="2:8" ht="12.75">
      <c r="B108" s="176"/>
      <c r="D108" t="s">
        <v>704</v>
      </c>
      <c r="F108" s="611"/>
      <c r="G108" s="611"/>
      <c r="H108" s="611"/>
    </row>
    <row r="109" spans="2:8" ht="12.75">
      <c r="B109" s="176"/>
      <c r="F109" s="611"/>
      <c r="G109" s="611"/>
      <c r="H109" s="611"/>
    </row>
    <row r="110" spans="2:8" ht="12.75">
      <c r="B110" s="176"/>
      <c r="F110" s="611"/>
      <c r="G110" s="611"/>
      <c r="H110" s="611"/>
    </row>
    <row r="111" spans="2:8" ht="12.75">
      <c r="B111" s="176" t="s">
        <v>705</v>
      </c>
      <c r="D111" t="s">
        <v>690</v>
      </c>
      <c r="F111" s="611">
        <v>722566</v>
      </c>
      <c r="G111" s="611"/>
      <c r="H111" s="611"/>
    </row>
    <row r="112" spans="2:8" ht="12.75">
      <c r="B112" s="176"/>
      <c r="E112" t="s">
        <v>691</v>
      </c>
      <c r="F112" s="611"/>
      <c r="G112" s="611"/>
      <c r="H112" s="611">
        <v>722566</v>
      </c>
    </row>
    <row r="113" spans="2:8" ht="12.75">
      <c r="B113" s="176"/>
      <c r="F113" s="611"/>
      <c r="G113" s="611"/>
      <c r="H113" s="611"/>
    </row>
    <row r="114" spans="2:8" ht="12.75">
      <c r="B114" s="176"/>
      <c r="D114" t="s">
        <v>693</v>
      </c>
      <c r="F114" s="611"/>
      <c r="G114" s="611"/>
      <c r="H114" s="611"/>
    </row>
    <row r="115" spans="2:8" ht="12.75">
      <c r="B115" s="176"/>
      <c r="D115" t="s">
        <v>704</v>
      </c>
      <c r="F115" s="611"/>
      <c r="G115" s="611"/>
      <c r="H115" s="611"/>
    </row>
    <row r="116" spans="2:8" ht="12.75">
      <c r="B116" s="176"/>
      <c r="F116" s="611"/>
      <c r="G116" s="611"/>
      <c r="H116" s="611"/>
    </row>
    <row r="117" spans="2:8" ht="12.75">
      <c r="B117" s="608">
        <v>1999</v>
      </c>
      <c r="F117" s="611"/>
      <c r="G117" s="611"/>
      <c r="H117" s="611"/>
    </row>
    <row r="118" spans="2:8" ht="12.75">
      <c r="B118" s="176"/>
      <c r="F118" s="611"/>
      <c r="G118" s="611"/>
      <c r="H118" s="611"/>
    </row>
    <row r="119" spans="2:8" ht="12.75">
      <c r="B119" s="176" t="s">
        <v>943</v>
      </c>
      <c r="D119" t="s">
        <v>690</v>
      </c>
      <c r="F119" s="611">
        <v>1688089</v>
      </c>
      <c r="G119" s="611"/>
      <c r="H119" s="611"/>
    </row>
    <row r="120" spans="2:8" ht="12.75">
      <c r="B120" s="176"/>
      <c r="D120" t="s">
        <v>1272</v>
      </c>
      <c r="F120" s="611">
        <v>6028886</v>
      </c>
      <c r="G120" s="611"/>
      <c r="H120" s="611"/>
    </row>
    <row r="121" spans="2:8" ht="12.75">
      <c r="B121" s="176"/>
      <c r="E121" t="s">
        <v>55</v>
      </c>
      <c r="F121" s="611"/>
      <c r="G121" s="611"/>
      <c r="H121" s="611">
        <v>6028886</v>
      </c>
    </row>
    <row r="122" spans="2:8" ht="12.75">
      <c r="B122" s="176"/>
      <c r="E122" t="s">
        <v>944</v>
      </c>
      <c r="F122" s="611"/>
      <c r="G122" s="611"/>
      <c r="H122" s="611">
        <v>1688089</v>
      </c>
    </row>
    <row r="123" spans="2:8" ht="12.75">
      <c r="B123" s="176"/>
      <c r="F123" s="611"/>
      <c r="G123" s="611"/>
      <c r="H123" s="611"/>
    </row>
    <row r="124" spans="2:8" ht="12.75">
      <c r="B124" s="176"/>
      <c r="D124" t="s">
        <v>945</v>
      </c>
      <c r="F124" s="611"/>
      <c r="G124" s="611"/>
      <c r="H124" s="611"/>
    </row>
    <row r="125" spans="2:8" ht="12.75">
      <c r="B125" s="176"/>
      <c r="F125" s="611"/>
      <c r="G125" s="611"/>
      <c r="H125" s="611"/>
    </row>
    <row r="126" spans="2:8" ht="12.75">
      <c r="B126" s="176"/>
      <c r="F126" s="611"/>
      <c r="G126" s="611"/>
      <c r="H126" s="611"/>
    </row>
    <row r="127" spans="1:8" ht="12.75">
      <c r="A127" s="720" t="s">
        <v>706</v>
      </c>
      <c r="B127" s="721"/>
      <c r="C127" s="269"/>
      <c r="D127" s="269"/>
      <c r="E127" s="269"/>
      <c r="F127" s="645"/>
      <c r="G127" s="645"/>
      <c r="H127" s="645"/>
    </row>
    <row r="128" spans="2:8" ht="12.75">
      <c r="B128" s="176"/>
      <c r="F128" s="611"/>
      <c r="G128" s="611"/>
      <c r="H128" s="611"/>
    </row>
    <row r="129" spans="2:8" ht="12.75">
      <c r="B129" s="176" t="s">
        <v>176</v>
      </c>
      <c r="D129" t="s">
        <v>279</v>
      </c>
      <c r="F129" s="611">
        <v>20000</v>
      </c>
      <c r="G129" s="611"/>
      <c r="H129" s="611"/>
    </row>
    <row r="130" spans="2:8" ht="12.75">
      <c r="B130" s="176"/>
      <c r="D130" t="s">
        <v>53</v>
      </c>
      <c r="F130" s="611">
        <v>596683</v>
      </c>
      <c r="G130" s="611"/>
      <c r="H130" s="611"/>
    </row>
    <row r="131" spans="2:8" ht="12.75">
      <c r="B131" s="176"/>
      <c r="E131" t="s">
        <v>671</v>
      </c>
      <c r="F131" s="611"/>
      <c r="G131" s="611"/>
      <c r="H131" s="611">
        <v>20000</v>
      </c>
    </row>
    <row r="132" spans="2:8" ht="12.75">
      <c r="B132" s="176"/>
      <c r="E132" t="s">
        <v>707</v>
      </c>
      <c r="F132" s="611"/>
      <c r="G132" s="611"/>
      <c r="H132" s="611">
        <v>596683</v>
      </c>
    </row>
    <row r="133" spans="2:8" ht="12.75">
      <c r="B133" s="176"/>
      <c r="F133" s="611"/>
      <c r="G133" s="611"/>
      <c r="H133" s="611"/>
    </row>
    <row r="134" spans="2:8" ht="12.75">
      <c r="B134" s="176"/>
      <c r="D134" t="s">
        <v>708</v>
      </c>
      <c r="F134" s="611"/>
      <c r="G134" s="611"/>
      <c r="H134" s="611"/>
    </row>
    <row r="135" spans="2:8" ht="12.75">
      <c r="B135" s="176"/>
      <c r="D135" t="s">
        <v>709</v>
      </c>
      <c r="F135" s="611"/>
      <c r="G135" s="611"/>
      <c r="H135" s="611"/>
    </row>
    <row r="136" spans="2:8" ht="12.75">
      <c r="B136" s="176"/>
      <c r="F136" s="611"/>
      <c r="G136" s="611"/>
      <c r="H136" s="611"/>
    </row>
    <row r="137" spans="2:8" ht="12.75">
      <c r="B137" s="176"/>
      <c r="F137" s="611"/>
      <c r="G137" s="611"/>
      <c r="H137" s="611"/>
    </row>
    <row r="138" spans="2:8" ht="12.75">
      <c r="B138" s="176" t="s">
        <v>184</v>
      </c>
      <c r="D138" t="s">
        <v>688</v>
      </c>
      <c r="F138" s="611">
        <v>71601</v>
      </c>
      <c r="G138" s="611"/>
      <c r="H138" s="611"/>
    </row>
    <row r="139" spans="2:8" ht="12.75">
      <c r="B139" s="176"/>
      <c r="E139" t="s">
        <v>674</v>
      </c>
      <c r="F139" s="611"/>
      <c r="G139" s="611"/>
      <c r="H139" s="611">
        <v>71601</v>
      </c>
    </row>
    <row r="140" spans="2:8" ht="12.75">
      <c r="B140" s="176"/>
      <c r="F140" s="611"/>
      <c r="G140" s="611"/>
      <c r="H140" s="611"/>
    </row>
    <row r="141" spans="2:8" ht="12.75">
      <c r="B141" s="176"/>
      <c r="D141" t="s">
        <v>711</v>
      </c>
      <c r="F141" s="611"/>
      <c r="G141" s="611"/>
      <c r="H141" s="611"/>
    </row>
    <row r="142" spans="2:8" ht="12.75">
      <c r="B142" s="176"/>
      <c r="D142" t="s">
        <v>712</v>
      </c>
      <c r="F142" s="611"/>
      <c r="G142" s="611"/>
      <c r="H142" s="611"/>
    </row>
    <row r="143" spans="2:8" ht="12.75">
      <c r="B143" s="176"/>
      <c r="F143" s="611"/>
      <c r="G143" s="611"/>
      <c r="H143" s="611"/>
    </row>
    <row r="144" spans="2:8" ht="12.75">
      <c r="B144" s="176"/>
      <c r="F144" s="611"/>
      <c r="G144" s="611"/>
      <c r="H144" s="611"/>
    </row>
    <row r="145" spans="2:8" ht="12.75">
      <c r="B145" s="176" t="s">
        <v>188</v>
      </c>
      <c r="D145" t="s">
        <v>688</v>
      </c>
      <c r="F145" s="611">
        <v>23867</v>
      </c>
      <c r="G145" s="611"/>
      <c r="H145" s="611"/>
    </row>
    <row r="146" spans="2:8" ht="12.75">
      <c r="B146" s="176"/>
      <c r="E146" t="s">
        <v>674</v>
      </c>
      <c r="F146" s="611"/>
      <c r="G146" s="611"/>
      <c r="H146" s="611">
        <v>23867</v>
      </c>
    </row>
    <row r="147" spans="2:8" ht="12.75">
      <c r="B147" s="176"/>
      <c r="F147" s="611"/>
      <c r="G147" s="611"/>
      <c r="H147" s="611"/>
    </row>
    <row r="148" spans="2:8" ht="12.75">
      <c r="B148" s="176"/>
      <c r="D148" t="s">
        <v>713</v>
      </c>
      <c r="F148" s="611"/>
      <c r="G148" s="611"/>
      <c r="H148" s="611"/>
    </row>
    <row r="149" spans="2:8" ht="12.75">
      <c r="B149" s="176"/>
      <c r="D149" t="s">
        <v>714</v>
      </c>
      <c r="F149" s="611"/>
      <c r="G149" s="611"/>
      <c r="H149" s="611"/>
    </row>
    <row r="150" spans="2:8" ht="12.75">
      <c r="B150" s="176"/>
      <c r="F150" s="611"/>
      <c r="G150" s="611"/>
      <c r="H150" s="611"/>
    </row>
    <row r="151" spans="2:8" ht="12.75">
      <c r="B151" s="176"/>
      <c r="F151" s="611"/>
      <c r="G151" s="611"/>
      <c r="H151" s="611"/>
    </row>
    <row r="152" spans="2:8" ht="12.75">
      <c r="B152" s="183">
        <v>1998</v>
      </c>
      <c r="C152" s="184"/>
      <c r="D152" s="184"/>
      <c r="E152" s="184"/>
      <c r="F152" s="644"/>
      <c r="G152" s="644"/>
      <c r="H152" s="644"/>
    </row>
    <row r="153" spans="2:8" ht="12.75">
      <c r="B153" s="176"/>
      <c r="F153" s="611"/>
      <c r="G153" s="611"/>
      <c r="H153" s="611"/>
    </row>
    <row r="154" spans="2:8" ht="12.75">
      <c r="B154" s="176" t="s">
        <v>715</v>
      </c>
      <c r="D154" t="s">
        <v>279</v>
      </c>
      <c r="F154" s="611">
        <v>980000</v>
      </c>
      <c r="G154" s="611"/>
      <c r="H154" s="611"/>
    </row>
    <row r="155" spans="2:8" ht="12.75">
      <c r="B155" s="176"/>
      <c r="E155" t="s">
        <v>671</v>
      </c>
      <c r="F155" s="611"/>
      <c r="G155" s="611"/>
      <c r="H155" s="611">
        <v>980000</v>
      </c>
    </row>
    <row r="156" spans="2:8" ht="12.75">
      <c r="B156" s="176"/>
      <c r="F156" s="611"/>
      <c r="G156" s="611"/>
      <c r="H156" s="611"/>
    </row>
    <row r="157" spans="2:8" ht="12.75">
      <c r="B157" s="176"/>
      <c r="D157" t="s">
        <v>716</v>
      </c>
      <c r="F157" s="611"/>
      <c r="G157" s="611"/>
      <c r="H157" s="611"/>
    </row>
    <row r="158" spans="2:8" ht="12.75">
      <c r="B158" s="176"/>
      <c r="D158" t="s">
        <v>709</v>
      </c>
      <c r="F158" s="611"/>
      <c r="G158" s="611"/>
      <c r="H158" s="611"/>
    </row>
    <row r="159" spans="2:8" ht="12.75">
      <c r="B159" s="176"/>
      <c r="F159" s="611"/>
      <c r="G159" s="611"/>
      <c r="H159" s="611"/>
    </row>
    <row r="160" spans="2:8" ht="12.75">
      <c r="B160" s="176"/>
      <c r="F160" s="611"/>
      <c r="G160" s="611"/>
      <c r="H160" s="611"/>
    </row>
    <row r="161" spans="2:8" ht="12.75">
      <c r="B161" s="176" t="s">
        <v>717</v>
      </c>
      <c r="D161" t="s">
        <v>688</v>
      </c>
      <c r="F161" s="611">
        <v>23867</v>
      </c>
      <c r="G161" s="611"/>
      <c r="H161" s="611"/>
    </row>
    <row r="162" spans="2:8" ht="12.75">
      <c r="B162" s="176"/>
      <c r="E162" t="s">
        <v>674</v>
      </c>
      <c r="F162" s="611"/>
      <c r="G162" s="611"/>
      <c r="H162" s="611">
        <v>23867</v>
      </c>
    </row>
    <row r="163" spans="2:8" ht="12.75">
      <c r="B163" s="176"/>
      <c r="F163" s="611"/>
      <c r="G163" s="611"/>
      <c r="H163" s="611"/>
    </row>
    <row r="164" spans="2:8" ht="12.75">
      <c r="B164" s="176"/>
      <c r="D164" t="s">
        <v>713</v>
      </c>
      <c r="F164" s="611"/>
      <c r="G164" s="611"/>
      <c r="H164" s="611"/>
    </row>
    <row r="165" spans="2:8" ht="12.75">
      <c r="B165" s="176"/>
      <c r="D165" t="s">
        <v>718</v>
      </c>
      <c r="F165" s="611"/>
      <c r="G165" s="611"/>
      <c r="H165" s="611"/>
    </row>
    <row r="166" spans="2:8" ht="12.75">
      <c r="B166" s="176"/>
      <c r="F166" s="611"/>
      <c r="G166" s="611"/>
      <c r="H166" s="611"/>
    </row>
    <row r="167" spans="2:8" s="189" customFormat="1" ht="12.75">
      <c r="B167" s="183">
        <v>1999</v>
      </c>
      <c r="C167" s="184"/>
      <c r="D167" s="184"/>
      <c r="E167" s="184"/>
      <c r="F167" s="644"/>
      <c r="G167" s="644"/>
      <c r="H167" s="644"/>
    </row>
    <row r="168" spans="2:8" s="189" customFormat="1" ht="12.75">
      <c r="B168" s="294"/>
      <c r="F168" s="646"/>
      <c r="G168" s="646"/>
      <c r="H168" s="646"/>
    </row>
    <row r="169" spans="2:8" s="189" customFormat="1" ht="12.75">
      <c r="B169" s="294" t="s">
        <v>1171</v>
      </c>
      <c r="D169" s="189" t="s">
        <v>688</v>
      </c>
      <c r="F169" s="646">
        <v>477348</v>
      </c>
      <c r="G169" s="646"/>
      <c r="H169" s="646"/>
    </row>
    <row r="170" spans="2:8" s="189" customFormat="1" ht="12.75">
      <c r="B170" s="294"/>
      <c r="E170" s="189" t="s">
        <v>674</v>
      </c>
      <c r="F170" s="646"/>
      <c r="G170" s="646"/>
      <c r="H170" s="646">
        <v>477348</v>
      </c>
    </row>
    <row r="171" spans="2:8" s="189" customFormat="1" ht="12.75">
      <c r="B171" s="294"/>
      <c r="F171" s="646"/>
      <c r="G171" s="646"/>
      <c r="H171" s="646"/>
    </row>
    <row r="172" spans="2:8" s="189" customFormat="1" ht="12.75">
      <c r="B172" s="294"/>
      <c r="D172" s="189" t="s">
        <v>1173</v>
      </c>
      <c r="F172" s="646"/>
      <c r="G172" s="646"/>
      <c r="H172" s="646"/>
    </row>
    <row r="173" spans="2:8" s="189" customFormat="1" ht="12.75">
      <c r="B173" s="294"/>
      <c r="D173" s="189" t="s">
        <v>1174</v>
      </c>
      <c r="F173" s="646"/>
      <c r="G173" s="646"/>
      <c r="H173" s="646"/>
    </row>
    <row r="174" spans="2:8" ht="12.75">
      <c r="B174" s="176"/>
      <c r="F174" s="611"/>
      <c r="G174" s="611"/>
      <c r="H174" s="611"/>
    </row>
    <row r="175" spans="2:8" ht="12.75">
      <c r="B175" s="176"/>
      <c r="F175" s="611"/>
      <c r="G175" s="611"/>
      <c r="H175" s="611"/>
    </row>
    <row r="176" spans="2:8" ht="12.75">
      <c r="B176" s="176"/>
      <c r="F176" s="611"/>
      <c r="G176" s="611"/>
      <c r="H176" s="611"/>
    </row>
    <row r="177" spans="2:8" ht="12.75">
      <c r="B177" s="176"/>
      <c r="F177" s="611"/>
      <c r="G177" s="611"/>
      <c r="H177" s="611"/>
    </row>
    <row r="178" spans="2:8" ht="12.75">
      <c r="B178" s="176"/>
      <c r="F178" s="611"/>
      <c r="G178" s="611"/>
      <c r="H178" s="611"/>
    </row>
    <row r="179" spans="2:8" ht="12.75">
      <c r="B179" s="176"/>
      <c r="F179" s="611"/>
      <c r="G179" s="611"/>
      <c r="H179" s="611"/>
    </row>
    <row r="180" spans="1:8" ht="12.75">
      <c r="A180" s="720" t="s">
        <v>719</v>
      </c>
      <c r="B180" s="721"/>
      <c r="C180" s="269"/>
      <c r="D180" s="269"/>
      <c r="E180" s="269"/>
      <c r="F180" s="645"/>
      <c r="G180" s="645"/>
      <c r="H180" s="645"/>
    </row>
    <row r="181" spans="2:8" ht="12.75">
      <c r="B181" s="176"/>
      <c r="F181" s="611"/>
      <c r="G181" s="611"/>
      <c r="H181" s="611"/>
    </row>
    <row r="182" spans="2:8" ht="12.75">
      <c r="B182" s="176" t="s">
        <v>191</v>
      </c>
      <c r="D182" t="s">
        <v>720</v>
      </c>
      <c r="F182" s="611">
        <v>463374</v>
      </c>
      <c r="G182" s="611"/>
      <c r="H182" s="611"/>
    </row>
    <row r="183" spans="2:8" ht="12.75">
      <c r="B183" s="176"/>
      <c r="D183" t="s">
        <v>279</v>
      </c>
      <c r="F183" s="611">
        <v>1500000</v>
      </c>
      <c r="G183" s="611"/>
      <c r="H183" s="611"/>
    </row>
    <row r="184" spans="2:8" ht="12.75">
      <c r="B184" s="176"/>
      <c r="D184" t="s">
        <v>53</v>
      </c>
      <c r="F184" s="611">
        <v>1777288</v>
      </c>
      <c r="G184" s="611"/>
      <c r="H184" s="611"/>
    </row>
    <row r="185" spans="2:8" ht="12.75">
      <c r="B185" s="176"/>
      <c r="E185" t="s">
        <v>671</v>
      </c>
      <c r="F185" s="611"/>
      <c r="G185" s="611"/>
      <c r="H185" s="611">
        <v>1295000</v>
      </c>
    </row>
    <row r="186" spans="2:8" ht="12.75">
      <c r="B186" s="176"/>
      <c r="E186" t="s">
        <v>721</v>
      </c>
      <c r="F186" s="611"/>
      <c r="G186" s="611"/>
      <c r="H186" s="611">
        <v>2445662</v>
      </c>
    </row>
    <row r="187" spans="2:8" ht="12.75">
      <c r="B187" s="176"/>
      <c r="F187" s="611"/>
      <c r="G187" s="611"/>
      <c r="H187" s="611"/>
    </row>
    <row r="188" spans="2:8" ht="12.75">
      <c r="B188" s="176"/>
      <c r="D188" t="s">
        <v>735</v>
      </c>
      <c r="F188" s="611"/>
      <c r="G188" s="611"/>
      <c r="H188" s="611"/>
    </row>
    <row r="189" spans="2:8" ht="12.75">
      <c r="B189" s="176"/>
      <c r="D189" t="s">
        <v>736</v>
      </c>
      <c r="F189" s="611"/>
      <c r="G189" s="611"/>
      <c r="H189" s="611"/>
    </row>
    <row r="190" spans="2:8" ht="12.75">
      <c r="B190" s="176"/>
      <c r="F190" s="611"/>
      <c r="G190" s="611"/>
      <c r="H190" s="611"/>
    </row>
    <row r="191" spans="2:8" ht="12.75">
      <c r="B191" s="176"/>
      <c r="F191" s="611"/>
      <c r="G191" s="611"/>
      <c r="H191" s="611"/>
    </row>
    <row r="192" spans="2:8" ht="12.75">
      <c r="B192" s="176" t="s">
        <v>195</v>
      </c>
      <c r="D192" t="s">
        <v>688</v>
      </c>
      <c r="F192" s="611">
        <v>142184</v>
      </c>
      <c r="G192" s="611"/>
      <c r="H192" s="611"/>
    </row>
    <row r="193" spans="2:8" ht="12.75">
      <c r="B193" s="176"/>
      <c r="E193" t="s">
        <v>674</v>
      </c>
      <c r="F193" s="611"/>
      <c r="G193" s="611"/>
      <c r="H193" s="611">
        <v>142184</v>
      </c>
    </row>
    <row r="194" spans="2:8" ht="12.75">
      <c r="B194" s="176"/>
      <c r="F194" s="611"/>
      <c r="G194" s="611"/>
      <c r="H194" s="611"/>
    </row>
    <row r="195" spans="2:8" ht="12.75">
      <c r="B195" s="176"/>
      <c r="D195" t="s">
        <v>737</v>
      </c>
      <c r="F195" s="611"/>
      <c r="G195" s="611"/>
      <c r="H195" s="611"/>
    </row>
    <row r="196" spans="2:8" ht="12.75">
      <c r="B196" s="176"/>
      <c r="D196" t="s">
        <v>738</v>
      </c>
      <c r="F196" s="611"/>
      <c r="G196" s="611"/>
      <c r="H196" s="611"/>
    </row>
    <row r="197" spans="2:8" ht="12.75">
      <c r="B197" s="176"/>
      <c r="F197" s="611"/>
      <c r="G197" s="611"/>
      <c r="H197" s="611"/>
    </row>
    <row r="198" spans="2:8" ht="12.75">
      <c r="B198" s="176"/>
      <c r="F198" s="611"/>
      <c r="G198" s="611"/>
      <c r="H198" s="611"/>
    </row>
    <row r="199" spans="2:8" ht="12.75">
      <c r="B199" s="176" t="s">
        <v>200</v>
      </c>
      <c r="D199" t="s">
        <v>720</v>
      </c>
      <c r="F199" s="611">
        <v>197912</v>
      </c>
      <c r="G199" s="611"/>
      <c r="H199" s="611"/>
    </row>
    <row r="200" spans="2:8" ht="12.75">
      <c r="B200" s="176"/>
      <c r="E200" t="s">
        <v>739</v>
      </c>
      <c r="F200" s="611"/>
      <c r="G200" s="611"/>
      <c r="H200" s="611">
        <v>197912</v>
      </c>
    </row>
    <row r="201" spans="2:8" ht="12.75">
      <c r="B201" s="176"/>
      <c r="F201" s="611"/>
      <c r="G201" s="611"/>
      <c r="H201" s="611"/>
    </row>
    <row r="202" spans="2:8" ht="12.75">
      <c r="B202" s="176"/>
      <c r="D202" t="s">
        <v>740</v>
      </c>
      <c r="F202" s="611"/>
      <c r="G202" s="611"/>
      <c r="H202" s="611"/>
    </row>
    <row r="203" spans="2:8" ht="12.75">
      <c r="B203" s="176"/>
      <c r="F203" s="611"/>
      <c r="G203" s="611"/>
      <c r="H203" s="611"/>
    </row>
    <row r="204" spans="2:8" ht="12.75">
      <c r="B204" s="176"/>
      <c r="F204" s="611"/>
      <c r="G204" s="611"/>
      <c r="H204" s="611"/>
    </row>
    <row r="205" spans="2:8" ht="12.75">
      <c r="B205" s="176" t="s">
        <v>201</v>
      </c>
      <c r="D205" t="s">
        <v>720</v>
      </c>
      <c r="F205" s="611">
        <v>470742</v>
      </c>
      <c r="G205" s="611"/>
      <c r="H205" s="611"/>
    </row>
    <row r="206" spans="2:8" ht="12.75">
      <c r="B206" s="176"/>
      <c r="E206" t="s">
        <v>739</v>
      </c>
      <c r="F206" s="611"/>
      <c r="G206" s="611"/>
      <c r="H206" s="611">
        <v>470742</v>
      </c>
    </row>
    <row r="207" spans="2:8" ht="12.75">
      <c r="B207" s="176"/>
      <c r="F207" s="611"/>
      <c r="G207" s="611"/>
      <c r="H207" s="611"/>
    </row>
    <row r="208" spans="2:8" ht="12.75">
      <c r="B208" s="176"/>
      <c r="D208" t="s">
        <v>741</v>
      </c>
      <c r="F208" s="611"/>
      <c r="G208" s="611"/>
      <c r="H208" s="611"/>
    </row>
    <row r="209" spans="2:8" ht="12.75">
      <c r="B209" s="176"/>
      <c r="F209" s="611"/>
      <c r="G209" s="611"/>
      <c r="H209" s="611"/>
    </row>
    <row r="210" spans="2:8" ht="12.75">
      <c r="B210" s="176"/>
      <c r="F210" s="611"/>
      <c r="G210" s="611"/>
      <c r="H210" s="611"/>
    </row>
    <row r="211" spans="2:8" ht="12.75">
      <c r="B211" s="176" t="s">
        <v>214</v>
      </c>
      <c r="D211" t="s">
        <v>742</v>
      </c>
      <c r="F211" s="611">
        <v>2</v>
      </c>
      <c r="G211" s="611"/>
      <c r="H211" s="611"/>
    </row>
    <row r="212" spans="2:8" ht="12.75">
      <c r="B212" s="176"/>
      <c r="D212" t="s">
        <v>743</v>
      </c>
      <c r="F212" s="611">
        <v>2</v>
      </c>
      <c r="G212" s="611"/>
      <c r="H212" s="611"/>
    </row>
    <row r="213" spans="2:8" ht="12.75">
      <c r="B213" s="176"/>
      <c r="D213" t="s">
        <v>744</v>
      </c>
      <c r="F213" s="611">
        <v>2</v>
      </c>
      <c r="G213" s="611"/>
      <c r="H213" s="611"/>
    </row>
    <row r="214" spans="2:8" ht="12.75">
      <c r="B214" s="176"/>
      <c r="D214" t="s">
        <v>745</v>
      </c>
      <c r="F214" s="611">
        <v>2</v>
      </c>
      <c r="G214" s="611"/>
      <c r="H214" s="611"/>
    </row>
    <row r="215" spans="2:8" ht="12.75">
      <c r="B215" s="176"/>
      <c r="D215" t="s">
        <v>746</v>
      </c>
      <c r="F215" s="611">
        <v>2</v>
      </c>
      <c r="G215" s="611"/>
      <c r="H215" s="611"/>
    </row>
    <row r="216" spans="2:8" ht="12.75">
      <c r="B216" s="176"/>
      <c r="D216" t="s">
        <v>747</v>
      </c>
      <c r="F216" s="611">
        <v>2</v>
      </c>
      <c r="G216" s="611"/>
      <c r="H216" s="611"/>
    </row>
    <row r="217" spans="2:8" ht="12.75">
      <c r="B217" s="176"/>
      <c r="D217" t="s">
        <v>748</v>
      </c>
      <c r="F217" s="611">
        <v>2</v>
      </c>
      <c r="G217" s="611"/>
      <c r="H217" s="611"/>
    </row>
    <row r="218" spans="2:8" ht="12.75">
      <c r="B218" s="176"/>
      <c r="D218" t="s">
        <v>749</v>
      </c>
      <c r="F218" s="611">
        <v>2</v>
      </c>
      <c r="G218" s="611"/>
      <c r="H218" s="611"/>
    </row>
    <row r="219" spans="2:8" ht="12.75">
      <c r="B219" s="176"/>
      <c r="D219" t="s">
        <v>750</v>
      </c>
      <c r="F219" s="611">
        <v>2</v>
      </c>
      <c r="G219" s="611"/>
      <c r="H219" s="611"/>
    </row>
    <row r="220" spans="2:8" ht="12.75">
      <c r="B220" s="176"/>
      <c r="D220" t="s">
        <v>751</v>
      </c>
      <c r="F220" s="611">
        <v>2</v>
      </c>
      <c r="G220" s="611"/>
      <c r="H220" s="611"/>
    </row>
    <row r="221" spans="2:8" ht="12.75">
      <c r="B221" s="176"/>
      <c r="D221" t="s">
        <v>752</v>
      </c>
      <c r="F221" s="611">
        <v>2</v>
      </c>
      <c r="G221" s="611"/>
      <c r="H221" s="611"/>
    </row>
    <row r="222" spans="2:8" ht="12.75">
      <c r="B222" s="176"/>
      <c r="E222" t="s">
        <v>671</v>
      </c>
      <c r="F222" s="611"/>
      <c r="G222" s="611"/>
      <c r="H222" s="611">
        <v>22</v>
      </c>
    </row>
    <row r="223" spans="2:8" ht="12.75">
      <c r="B223" s="176"/>
      <c r="F223" s="611"/>
      <c r="G223" s="611"/>
      <c r="H223" s="611"/>
    </row>
    <row r="224" spans="2:8" ht="12.75">
      <c r="B224" s="176"/>
      <c r="D224" t="s">
        <v>753</v>
      </c>
      <c r="F224" s="611"/>
      <c r="G224" s="611"/>
      <c r="H224" s="611"/>
    </row>
    <row r="225" spans="2:8" ht="12.75">
      <c r="B225" s="176"/>
      <c r="F225" s="611"/>
      <c r="G225" s="611"/>
      <c r="H225" s="611"/>
    </row>
    <row r="226" spans="2:8" ht="12.75">
      <c r="B226" s="176"/>
      <c r="F226" s="611"/>
      <c r="G226" s="611"/>
      <c r="H226" s="611"/>
    </row>
    <row r="227" spans="2:8" ht="12.75">
      <c r="B227" s="176" t="s">
        <v>215</v>
      </c>
      <c r="D227" t="s">
        <v>279</v>
      </c>
      <c r="F227" s="611">
        <v>4000000</v>
      </c>
      <c r="G227" s="611"/>
      <c r="H227" s="611"/>
    </row>
    <row r="228" spans="2:8" ht="12.75">
      <c r="B228" s="176"/>
      <c r="D228" t="s">
        <v>739</v>
      </c>
      <c r="F228" s="611">
        <v>1133544</v>
      </c>
      <c r="G228" s="611"/>
      <c r="H228" s="611"/>
    </row>
    <row r="229" spans="2:8" ht="12.75">
      <c r="B229" s="176"/>
      <c r="E229" t="s">
        <v>754</v>
      </c>
      <c r="F229" s="611"/>
      <c r="G229" s="611"/>
      <c r="H229" s="611">
        <v>200000</v>
      </c>
    </row>
    <row r="230" spans="2:8" ht="12.75">
      <c r="B230" s="176"/>
      <c r="E230" t="s">
        <v>671</v>
      </c>
      <c r="F230" s="611"/>
      <c r="G230" s="611"/>
      <c r="H230" s="611">
        <v>2000000</v>
      </c>
    </row>
    <row r="231" spans="2:8" ht="12.75">
      <c r="B231" s="176"/>
      <c r="E231" t="s">
        <v>720</v>
      </c>
      <c r="F231" s="611"/>
      <c r="G231" s="611"/>
      <c r="H231" s="611">
        <v>2933544</v>
      </c>
    </row>
    <row r="232" spans="2:8" ht="12.75">
      <c r="B232" s="176"/>
      <c r="F232" s="611"/>
      <c r="G232" s="611"/>
      <c r="H232" s="611"/>
    </row>
    <row r="233" spans="2:8" ht="12.75">
      <c r="B233" s="176"/>
      <c r="D233" t="s">
        <v>755</v>
      </c>
      <c r="F233" s="611"/>
      <c r="G233" s="611"/>
      <c r="H233" s="611"/>
    </row>
    <row r="234" spans="2:8" ht="12.75">
      <c r="B234" s="176"/>
      <c r="D234" t="s">
        <v>757</v>
      </c>
      <c r="F234" s="611"/>
      <c r="G234" s="611"/>
      <c r="H234" s="611"/>
    </row>
    <row r="235" spans="2:8" ht="12.75">
      <c r="B235" s="176"/>
      <c r="D235" t="s">
        <v>772</v>
      </c>
      <c r="F235" s="611"/>
      <c r="G235" s="611"/>
      <c r="H235" s="611"/>
    </row>
    <row r="236" spans="2:8" ht="12.75">
      <c r="B236" s="176"/>
      <c r="F236" s="611"/>
      <c r="G236" s="611"/>
      <c r="H236" s="611"/>
    </row>
    <row r="237" spans="2:8" ht="12.75">
      <c r="B237" s="176"/>
      <c r="F237" s="611"/>
      <c r="G237" s="611"/>
      <c r="H237" s="611"/>
    </row>
    <row r="238" spans="2:8" ht="12.75">
      <c r="B238" s="176" t="s">
        <v>216</v>
      </c>
      <c r="D238" t="s">
        <v>773</v>
      </c>
      <c r="F238" s="611">
        <v>836470</v>
      </c>
      <c r="G238" s="611"/>
      <c r="H238" s="611"/>
    </row>
    <row r="239" spans="2:8" ht="12.75">
      <c r="B239" s="176"/>
      <c r="E239" t="s">
        <v>720</v>
      </c>
      <c r="F239" s="611"/>
      <c r="G239" s="611"/>
      <c r="H239" s="611">
        <v>836470</v>
      </c>
    </row>
    <row r="240" spans="2:8" ht="12.75">
      <c r="B240" s="176"/>
      <c r="F240" s="611"/>
      <c r="G240" s="611"/>
      <c r="H240" s="611"/>
    </row>
    <row r="241" spans="2:8" ht="12.75">
      <c r="B241" s="176"/>
      <c r="D241" t="s">
        <v>774</v>
      </c>
      <c r="F241" s="611"/>
      <c r="G241" s="611"/>
      <c r="H241" s="611"/>
    </row>
    <row r="242" spans="2:8" ht="12.75">
      <c r="B242" s="176"/>
      <c r="D242" t="s">
        <v>775</v>
      </c>
      <c r="F242" s="611"/>
      <c r="G242" s="611"/>
      <c r="H242" s="611"/>
    </row>
    <row r="243" spans="2:8" ht="12.75">
      <c r="B243" s="176"/>
      <c r="F243" s="611"/>
      <c r="G243" s="611"/>
      <c r="H243" s="611"/>
    </row>
    <row r="244" spans="2:8" ht="12.75">
      <c r="B244" s="176"/>
      <c r="F244" s="611"/>
      <c r="G244" s="611"/>
      <c r="H244" s="611"/>
    </row>
    <row r="245" spans="2:8" ht="12.75">
      <c r="B245" s="176" t="s">
        <v>220</v>
      </c>
      <c r="D245" t="s">
        <v>279</v>
      </c>
      <c r="F245" s="611">
        <v>27111492</v>
      </c>
      <c r="G245" s="611"/>
      <c r="H245" s="611"/>
    </row>
    <row r="246" spans="2:8" ht="12.75">
      <c r="B246" s="176"/>
      <c r="E246" t="s">
        <v>776</v>
      </c>
      <c r="F246" s="611"/>
      <c r="G246" s="611"/>
      <c r="H246" s="611">
        <v>2600000</v>
      </c>
    </row>
    <row r="247" spans="2:8" ht="12.75">
      <c r="B247" s="176"/>
      <c r="E247" t="s">
        <v>791</v>
      </c>
      <c r="F247" s="611"/>
      <c r="G247" s="611"/>
      <c r="H247" s="611">
        <v>24511492</v>
      </c>
    </row>
    <row r="248" spans="2:8" ht="12.75">
      <c r="B248" s="176"/>
      <c r="F248" s="611"/>
      <c r="G248" s="611"/>
      <c r="H248" s="611"/>
    </row>
    <row r="249" spans="2:8" ht="12.75">
      <c r="B249" s="176"/>
      <c r="D249" t="s">
        <v>792</v>
      </c>
      <c r="F249" s="611"/>
      <c r="G249" s="611"/>
      <c r="H249" s="611"/>
    </row>
    <row r="250" spans="2:8" ht="12.75">
      <c r="B250" s="176"/>
      <c r="F250" s="611"/>
      <c r="G250" s="611"/>
      <c r="H250" s="611"/>
    </row>
    <row r="251" spans="2:8" ht="12.75">
      <c r="B251" s="176"/>
      <c r="F251" s="611"/>
      <c r="G251" s="611"/>
      <c r="H251" s="611"/>
    </row>
    <row r="252" spans="2:8" ht="12.75">
      <c r="B252" s="176" t="s">
        <v>222</v>
      </c>
      <c r="D252" t="s">
        <v>793</v>
      </c>
      <c r="F252" s="611">
        <v>250000</v>
      </c>
      <c r="G252" s="611"/>
      <c r="H252" s="611"/>
    </row>
    <row r="253" spans="2:8" ht="12.75">
      <c r="B253" s="176"/>
      <c r="D253" t="s">
        <v>674</v>
      </c>
      <c r="F253" s="611">
        <v>2250002</v>
      </c>
      <c r="G253" s="611"/>
      <c r="H253" s="611"/>
    </row>
    <row r="254" spans="2:8" ht="12.75">
      <c r="B254" s="176"/>
      <c r="E254" t="s">
        <v>671</v>
      </c>
      <c r="F254" s="611"/>
      <c r="G254" s="611"/>
      <c r="H254" s="611">
        <v>2500002</v>
      </c>
    </row>
    <row r="255" spans="2:8" ht="12.75">
      <c r="B255" s="176"/>
      <c r="F255" s="611"/>
      <c r="G255" s="611"/>
      <c r="H255" s="611"/>
    </row>
    <row r="256" spans="2:8" ht="12.75">
      <c r="B256" s="176"/>
      <c r="D256" t="s">
        <v>794</v>
      </c>
      <c r="F256" s="611"/>
      <c r="G256" s="611"/>
      <c r="H256" s="611"/>
    </row>
    <row r="257" spans="2:8" ht="12.75">
      <c r="B257" s="176"/>
      <c r="F257" s="611"/>
      <c r="G257" s="611"/>
      <c r="H257" s="611"/>
    </row>
    <row r="258" spans="2:8" ht="12.75">
      <c r="B258" s="176"/>
      <c r="F258" s="611"/>
      <c r="G258" s="611"/>
      <c r="H258" s="611"/>
    </row>
    <row r="259" spans="2:8" ht="12.75">
      <c r="B259" s="176" t="s">
        <v>227</v>
      </c>
      <c r="D259" t="s">
        <v>676</v>
      </c>
      <c r="F259" s="611">
        <v>90000</v>
      </c>
      <c r="G259" s="611"/>
      <c r="H259" s="611"/>
    </row>
    <row r="260" spans="2:8" ht="12.75">
      <c r="B260" s="176"/>
      <c r="E260" t="s">
        <v>674</v>
      </c>
      <c r="F260" s="611"/>
      <c r="G260" s="611"/>
      <c r="H260" s="611">
        <v>90000</v>
      </c>
    </row>
    <row r="261" spans="2:8" ht="12.75">
      <c r="B261" s="176"/>
      <c r="F261" s="611"/>
      <c r="G261" s="611"/>
      <c r="H261" s="611"/>
    </row>
    <row r="262" spans="2:8" ht="12.75">
      <c r="B262" s="176"/>
      <c r="D262" t="s">
        <v>795</v>
      </c>
      <c r="F262" s="611"/>
      <c r="G262" s="611"/>
      <c r="H262" s="611"/>
    </row>
    <row r="263" spans="2:8" ht="12.75">
      <c r="B263" s="176"/>
      <c r="D263" t="s">
        <v>796</v>
      </c>
      <c r="F263" s="611"/>
      <c r="G263" s="611"/>
      <c r="H263" s="611"/>
    </row>
    <row r="264" spans="2:8" ht="12.75">
      <c r="B264" s="176"/>
      <c r="F264" s="611"/>
      <c r="G264" s="611"/>
      <c r="H264" s="611"/>
    </row>
    <row r="265" spans="2:8" ht="12.75">
      <c r="B265" s="176"/>
      <c r="F265" s="611"/>
      <c r="G265" s="611"/>
      <c r="H265" s="611"/>
    </row>
    <row r="266" spans="2:8" ht="12.75">
      <c r="B266" s="176" t="s">
        <v>230</v>
      </c>
      <c r="D266" t="s">
        <v>679</v>
      </c>
      <c r="F266" s="611">
        <v>1388000</v>
      </c>
      <c r="G266" s="611"/>
      <c r="H266" s="611"/>
    </row>
    <row r="267" spans="2:8" ht="12.75">
      <c r="B267" s="176"/>
      <c r="D267" t="s">
        <v>797</v>
      </c>
      <c r="F267" s="611">
        <v>5087000</v>
      </c>
      <c r="G267" s="611"/>
      <c r="H267" s="611"/>
    </row>
    <row r="268" spans="2:8" ht="12.75">
      <c r="B268" s="176"/>
      <c r="E268" t="s">
        <v>798</v>
      </c>
      <c r="F268" s="611"/>
      <c r="G268" s="611"/>
      <c r="H268" s="611">
        <v>6475000</v>
      </c>
    </row>
    <row r="269" spans="2:8" ht="12.75">
      <c r="B269" s="176"/>
      <c r="F269" s="611"/>
      <c r="G269" s="611"/>
      <c r="H269" s="611"/>
    </row>
    <row r="270" spans="2:8" ht="12.75">
      <c r="B270" s="176"/>
      <c r="D270" t="s">
        <v>799</v>
      </c>
      <c r="F270" s="611"/>
      <c r="G270" s="611"/>
      <c r="H270" s="611"/>
    </row>
    <row r="271" spans="2:8" ht="12.75">
      <c r="B271" s="176"/>
      <c r="D271" t="s">
        <v>800</v>
      </c>
      <c r="F271" s="611"/>
      <c r="G271" s="611"/>
      <c r="H271" s="611"/>
    </row>
    <row r="272" spans="2:8" ht="12.75">
      <c r="B272" s="176"/>
      <c r="D272" t="s">
        <v>801</v>
      </c>
      <c r="F272" s="611"/>
      <c r="G272" s="611"/>
      <c r="H272" s="611"/>
    </row>
    <row r="273" spans="2:8" ht="12.75">
      <c r="B273" s="176"/>
      <c r="D273" t="s">
        <v>802</v>
      </c>
      <c r="F273" s="611"/>
      <c r="G273" s="611"/>
      <c r="H273" s="611"/>
    </row>
    <row r="274" spans="2:8" ht="12.75">
      <c r="B274" s="176"/>
      <c r="F274" s="611"/>
      <c r="G274" s="611"/>
      <c r="H274" s="611"/>
    </row>
    <row r="275" spans="2:8" ht="12.75">
      <c r="B275" s="176"/>
      <c r="F275" s="611"/>
      <c r="G275" s="611"/>
      <c r="H275" s="611"/>
    </row>
    <row r="276" spans="2:8" ht="12.75">
      <c r="B276" s="176" t="s">
        <v>233</v>
      </c>
      <c r="D276" t="s">
        <v>279</v>
      </c>
      <c r="F276" s="611">
        <v>440000</v>
      </c>
      <c r="G276" s="611"/>
      <c r="H276" s="611"/>
    </row>
    <row r="277" spans="2:8" ht="12.75">
      <c r="B277" s="176"/>
      <c r="D277" t="s">
        <v>803</v>
      </c>
      <c r="F277" s="611">
        <v>12527000</v>
      </c>
      <c r="G277" s="611"/>
      <c r="H277" s="611"/>
    </row>
    <row r="278" spans="2:8" ht="12.75">
      <c r="B278" s="176"/>
      <c r="E278" t="s">
        <v>804</v>
      </c>
      <c r="F278" s="611"/>
      <c r="G278" s="611"/>
      <c r="H278" s="611">
        <v>900126</v>
      </c>
    </row>
    <row r="279" spans="2:8" ht="12.75">
      <c r="B279" s="176"/>
      <c r="E279" t="s">
        <v>805</v>
      </c>
      <c r="F279" s="611"/>
      <c r="G279" s="611"/>
      <c r="H279" s="611">
        <v>12056009</v>
      </c>
    </row>
    <row r="280" spans="2:8" ht="12.75">
      <c r="B280" s="176"/>
      <c r="E280" t="s">
        <v>707</v>
      </c>
      <c r="F280" s="611"/>
      <c r="G280" s="611"/>
      <c r="H280" s="611">
        <v>10865</v>
      </c>
    </row>
    <row r="281" spans="2:8" ht="12.75">
      <c r="B281" s="176"/>
      <c r="F281" s="611"/>
      <c r="G281" s="611"/>
      <c r="H281" s="611"/>
    </row>
    <row r="282" spans="2:8" ht="12.75">
      <c r="B282" s="176"/>
      <c r="D282" t="s">
        <v>806</v>
      </c>
      <c r="F282" s="611"/>
      <c r="G282" s="611"/>
      <c r="H282" s="611"/>
    </row>
    <row r="283" spans="2:8" ht="12.75">
      <c r="B283" s="176"/>
      <c r="D283" t="s">
        <v>807</v>
      </c>
      <c r="F283" s="611"/>
      <c r="G283" s="611"/>
      <c r="H283" s="611"/>
    </row>
    <row r="284" spans="2:8" ht="12.75">
      <c r="B284" s="176"/>
      <c r="F284" s="611"/>
      <c r="G284" s="611"/>
      <c r="H284" s="611"/>
    </row>
    <row r="285" spans="2:8" ht="12.75">
      <c r="B285" s="176"/>
      <c r="F285" s="611"/>
      <c r="G285" s="611"/>
      <c r="H285" s="611"/>
    </row>
    <row r="286" spans="2:8" ht="12.75">
      <c r="B286" s="176" t="s">
        <v>231</v>
      </c>
      <c r="D286" t="s">
        <v>808</v>
      </c>
      <c r="F286" s="611">
        <v>67985</v>
      </c>
      <c r="G286" s="611"/>
      <c r="H286" s="611"/>
    </row>
    <row r="287" spans="2:8" ht="12.75">
      <c r="B287" s="176"/>
      <c r="E287" t="s">
        <v>809</v>
      </c>
      <c r="F287" s="611"/>
      <c r="G287" s="611"/>
      <c r="H287" s="611">
        <v>67985</v>
      </c>
    </row>
    <row r="288" spans="2:8" ht="12.75">
      <c r="B288" s="176"/>
      <c r="F288" s="611"/>
      <c r="G288" s="611"/>
      <c r="H288" s="611"/>
    </row>
    <row r="289" spans="2:8" ht="12.75">
      <c r="B289" s="176"/>
      <c r="D289" t="s">
        <v>810</v>
      </c>
      <c r="F289" s="611"/>
      <c r="G289" s="611"/>
      <c r="H289" s="611"/>
    </row>
    <row r="290" spans="2:8" ht="12.75">
      <c r="B290" s="176"/>
      <c r="D290" t="s">
        <v>829</v>
      </c>
      <c r="F290" s="611"/>
      <c r="G290" s="611"/>
      <c r="H290" s="611"/>
    </row>
    <row r="291" spans="2:8" ht="12.75">
      <c r="B291" s="176"/>
      <c r="D291" t="s">
        <v>830</v>
      </c>
      <c r="F291" s="611"/>
      <c r="G291" s="611"/>
      <c r="H291" s="611"/>
    </row>
    <row r="292" spans="2:8" ht="12.75">
      <c r="B292" s="176"/>
      <c r="F292" s="611"/>
      <c r="G292" s="611"/>
      <c r="H292" s="611"/>
    </row>
    <row r="293" spans="2:8" ht="12.75">
      <c r="B293" s="183">
        <v>1997</v>
      </c>
      <c r="C293" s="184"/>
      <c r="D293" s="184"/>
      <c r="E293" s="184"/>
      <c r="F293" s="644"/>
      <c r="G293" s="644"/>
      <c r="H293" s="644"/>
    </row>
    <row r="294" spans="2:8" ht="12.75">
      <c r="B294" s="176"/>
      <c r="F294" s="611"/>
      <c r="G294" s="611"/>
      <c r="H294" s="611"/>
    </row>
    <row r="295" spans="2:8" ht="12.75">
      <c r="B295" s="176" t="s">
        <v>238</v>
      </c>
      <c r="D295" t="s">
        <v>773</v>
      </c>
      <c r="F295" s="611">
        <v>914668</v>
      </c>
      <c r="G295" s="611"/>
      <c r="H295" s="611"/>
    </row>
    <row r="296" spans="2:8" ht="12.75">
      <c r="B296" s="176"/>
      <c r="E296" t="s">
        <v>720</v>
      </c>
      <c r="F296" s="611"/>
      <c r="G296" s="611"/>
      <c r="H296" s="611">
        <v>914668</v>
      </c>
    </row>
    <row r="297" spans="2:8" ht="12.75">
      <c r="B297" s="176"/>
      <c r="F297" s="611"/>
      <c r="G297" s="611"/>
      <c r="H297" s="611"/>
    </row>
    <row r="298" spans="2:8" ht="12.75">
      <c r="B298" s="176"/>
      <c r="D298" t="s">
        <v>831</v>
      </c>
      <c r="F298" s="611"/>
      <c r="G298" s="611"/>
      <c r="H298" s="611"/>
    </row>
    <row r="299" spans="2:8" ht="12.75">
      <c r="B299" s="176"/>
      <c r="F299" s="611"/>
      <c r="G299" s="611"/>
      <c r="H299" s="611"/>
    </row>
    <row r="300" spans="2:8" ht="12.75">
      <c r="B300" s="176"/>
      <c r="F300" s="611"/>
      <c r="G300" s="611"/>
      <c r="H300" s="611"/>
    </row>
    <row r="301" spans="2:8" ht="12.75">
      <c r="B301" s="176" t="s">
        <v>239</v>
      </c>
      <c r="D301" t="s">
        <v>803</v>
      </c>
      <c r="F301" s="611">
        <v>1251379</v>
      </c>
      <c r="G301" s="611"/>
      <c r="H301" s="611"/>
    </row>
    <row r="302" spans="2:8" ht="12.75">
      <c r="B302" s="176"/>
      <c r="E302" t="s">
        <v>832</v>
      </c>
      <c r="F302" s="611"/>
      <c r="G302" s="611"/>
      <c r="H302" s="611">
        <v>1251379</v>
      </c>
    </row>
    <row r="303" spans="2:8" ht="12.75">
      <c r="B303" s="176"/>
      <c r="F303" s="611"/>
      <c r="G303" s="611"/>
      <c r="H303" s="611"/>
    </row>
    <row r="304" spans="2:8" ht="12.75">
      <c r="B304" s="176"/>
      <c r="D304" t="s">
        <v>833</v>
      </c>
      <c r="F304" s="611"/>
      <c r="G304" s="611"/>
      <c r="H304" s="611"/>
    </row>
    <row r="305" spans="2:8" ht="12.75">
      <c r="B305" s="176"/>
      <c r="F305" s="611"/>
      <c r="G305" s="611"/>
      <c r="H305" s="611"/>
    </row>
    <row r="306" spans="2:8" ht="12.75">
      <c r="B306" s="176"/>
      <c r="F306" s="611"/>
      <c r="G306" s="611"/>
      <c r="H306" s="611"/>
    </row>
    <row r="307" spans="2:8" ht="12.75">
      <c r="B307" s="176" t="s">
        <v>241</v>
      </c>
      <c r="D307" t="s">
        <v>834</v>
      </c>
      <c r="F307" s="611">
        <v>2</v>
      </c>
      <c r="G307" s="611"/>
      <c r="H307" s="611"/>
    </row>
    <row r="308" spans="2:8" ht="12.75">
      <c r="B308" s="176"/>
      <c r="D308" t="s">
        <v>835</v>
      </c>
      <c r="F308" s="611">
        <v>2</v>
      </c>
      <c r="G308" s="611"/>
      <c r="H308" s="611"/>
    </row>
    <row r="309" spans="2:8" ht="12.75">
      <c r="B309" s="176"/>
      <c r="D309" t="s">
        <v>836</v>
      </c>
      <c r="F309" s="611">
        <v>2</v>
      </c>
      <c r="G309" s="611"/>
      <c r="H309" s="611"/>
    </row>
    <row r="310" spans="2:8" ht="12.75">
      <c r="B310" s="176"/>
      <c r="D310" t="s">
        <v>837</v>
      </c>
      <c r="F310" s="611">
        <v>3200002</v>
      </c>
      <c r="G310" s="611"/>
      <c r="H310" s="611"/>
    </row>
    <row r="311" spans="2:8" ht="12.75">
      <c r="B311" s="176"/>
      <c r="D311" t="s">
        <v>838</v>
      </c>
      <c r="F311" s="611">
        <v>3</v>
      </c>
      <c r="G311" s="611"/>
      <c r="H311" s="611"/>
    </row>
    <row r="312" spans="2:8" ht="12.75">
      <c r="B312" s="176"/>
      <c r="D312" t="s">
        <v>839</v>
      </c>
      <c r="F312" s="611">
        <v>3</v>
      </c>
      <c r="G312" s="611"/>
      <c r="H312" s="611"/>
    </row>
    <row r="313" spans="2:8" ht="12.75">
      <c r="B313" s="176"/>
      <c r="D313" t="s">
        <v>840</v>
      </c>
      <c r="F313" s="611">
        <v>2</v>
      </c>
      <c r="G313" s="611"/>
      <c r="H313" s="611"/>
    </row>
    <row r="314" spans="2:8" ht="12.75">
      <c r="B314" s="176"/>
      <c r="D314" t="s">
        <v>841</v>
      </c>
      <c r="F314" s="611">
        <v>2</v>
      </c>
      <c r="G314" s="611"/>
      <c r="H314" s="611"/>
    </row>
    <row r="315" spans="2:8" ht="12.75">
      <c r="B315" s="176"/>
      <c r="E315" t="s">
        <v>671</v>
      </c>
      <c r="F315" s="611"/>
      <c r="G315" s="611"/>
      <c r="H315" s="611">
        <v>3200018</v>
      </c>
    </row>
    <row r="316" spans="2:8" ht="12.75">
      <c r="B316" s="176"/>
      <c r="F316" s="611"/>
      <c r="G316" s="611"/>
      <c r="H316" s="611"/>
    </row>
    <row r="317" spans="2:8" ht="12.75">
      <c r="B317" s="176"/>
      <c r="D317" t="s">
        <v>846</v>
      </c>
      <c r="F317" s="611"/>
      <c r="G317" s="611"/>
      <c r="H317" s="611"/>
    </row>
    <row r="318" spans="2:8" ht="12.75">
      <c r="B318" s="176"/>
      <c r="F318" s="611"/>
      <c r="G318" s="611"/>
      <c r="H318" s="611"/>
    </row>
    <row r="319" spans="2:8" ht="12.75">
      <c r="B319" s="176"/>
      <c r="F319" s="611"/>
      <c r="G319" s="611"/>
      <c r="H319" s="611"/>
    </row>
    <row r="320" spans="2:8" ht="12.75">
      <c r="B320" s="176" t="s">
        <v>251</v>
      </c>
      <c r="D320" t="s">
        <v>279</v>
      </c>
      <c r="F320" s="611">
        <v>30000000</v>
      </c>
      <c r="G320" s="611"/>
      <c r="H320" s="611"/>
    </row>
    <row r="321" spans="2:8" ht="12.75">
      <c r="B321" s="176"/>
      <c r="D321" t="s">
        <v>847</v>
      </c>
      <c r="F321" s="611">
        <v>31281724</v>
      </c>
      <c r="G321" s="611"/>
      <c r="H321" s="611"/>
    </row>
    <row r="322" spans="2:8" ht="12.75">
      <c r="B322" s="176"/>
      <c r="D322" t="s">
        <v>848</v>
      </c>
      <c r="F322" s="611">
        <v>886424</v>
      </c>
      <c r="G322" s="611"/>
      <c r="H322" s="611"/>
    </row>
    <row r="323" spans="2:8" ht="12.75">
      <c r="B323" s="176"/>
      <c r="E323" t="s">
        <v>849</v>
      </c>
      <c r="F323" s="611"/>
      <c r="G323" s="611"/>
      <c r="H323" s="611">
        <v>1504551</v>
      </c>
    </row>
    <row r="324" spans="2:8" ht="12.75">
      <c r="B324" s="176"/>
      <c r="E324" t="s">
        <v>671</v>
      </c>
      <c r="F324" s="611"/>
      <c r="G324" s="611"/>
      <c r="H324" s="611">
        <v>60663597</v>
      </c>
    </row>
    <row r="325" spans="2:8" ht="12.75">
      <c r="B325" s="176"/>
      <c r="F325" s="611"/>
      <c r="G325" s="611"/>
      <c r="H325" s="611"/>
    </row>
    <row r="326" spans="2:8" ht="12.75">
      <c r="B326" s="176"/>
      <c r="D326" s="181" t="s">
        <v>850</v>
      </c>
      <c r="F326" s="611"/>
      <c r="G326" s="611"/>
      <c r="H326" s="611"/>
    </row>
    <row r="327" spans="2:8" ht="12.75">
      <c r="B327" s="176"/>
      <c r="D327" s="181" t="s">
        <v>851</v>
      </c>
      <c r="F327" s="611"/>
      <c r="G327" s="611"/>
      <c r="H327" s="611"/>
    </row>
    <row r="328" spans="2:8" ht="12.75">
      <c r="B328" s="176"/>
      <c r="F328" s="611"/>
      <c r="G328" s="611"/>
      <c r="H328" s="611"/>
    </row>
    <row r="329" spans="2:8" ht="12.75">
      <c r="B329" s="176"/>
      <c r="F329" s="611"/>
      <c r="G329" s="611"/>
      <c r="H329" s="611"/>
    </row>
    <row r="330" spans="2:8" ht="12.75">
      <c r="B330" s="176" t="s">
        <v>253</v>
      </c>
      <c r="D330" t="s">
        <v>279</v>
      </c>
      <c r="F330" s="611">
        <v>300000</v>
      </c>
      <c r="G330" s="611"/>
      <c r="H330" s="611"/>
    </row>
    <row r="331" spans="2:8" ht="12.75">
      <c r="B331" s="176"/>
      <c r="D331" t="s">
        <v>53</v>
      </c>
      <c r="F331" s="611">
        <v>2900000</v>
      </c>
      <c r="G331" s="611"/>
      <c r="H331" s="611"/>
    </row>
    <row r="332" spans="2:8" ht="12.75">
      <c r="B332" s="176"/>
      <c r="E332" t="s">
        <v>671</v>
      </c>
      <c r="F332" s="611"/>
      <c r="G332" s="611"/>
      <c r="H332" s="611">
        <v>3200000</v>
      </c>
    </row>
    <row r="333" spans="2:8" ht="12.75">
      <c r="B333" s="176"/>
      <c r="F333" s="611"/>
      <c r="G333" s="611"/>
      <c r="H333" s="611"/>
    </row>
    <row r="334" spans="2:8" ht="12.75">
      <c r="B334" s="176"/>
      <c r="D334" t="s">
        <v>852</v>
      </c>
      <c r="F334" s="611"/>
      <c r="G334" s="611"/>
      <c r="H334" s="611"/>
    </row>
    <row r="335" spans="2:8" ht="12.75">
      <c r="B335" s="176"/>
      <c r="D335" t="s">
        <v>853</v>
      </c>
      <c r="F335" s="611"/>
      <c r="G335" s="611"/>
      <c r="H335" s="611"/>
    </row>
    <row r="336" spans="2:8" ht="12.75">
      <c r="B336" s="176"/>
      <c r="F336" s="611"/>
      <c r="G336" s="611"/>
      <c r="H336" s="611"/>
    </row>
    <row r="337" spans="2:8" ht="12.75">
      <c r="B337" s="176"/>
      <c r="F337" s="611"/>
      <c r="G337" s="611"/>
      <c r="H337" s="611"/>
    </row>
    <row r="338" spans="2:8" ht="12.75">
      <c r="B338" s="176" t="s">
        <v>256</v>
      </c>
      <c r="D338" t="s">
        <v>279</v>
      </c>
      <c r="F338" s="611">
        <v>2000000</v>
      </c>
      <c r="G338" s="611"/>
      <c r="H338" s="611"/>
    </row>
    <row r="339" spans="2:8" ht="12.75">
      <c r="B339" s="176"/>
      <c r="D339" t="s">
        <v>848</v>
      </c>
      <c r="F339" s="611">
        <v>3406253</v>
      </c>
      <c r="G339" s="611"/>
      <c r="H339" s="611"/>
    </row>
    <row r="340" spans="2:8" ht="12.75">
      <c r="B340" s="176"/>
      <c r="E340" t="s">
        <v>849</v>
      </c>
      <c r="F340" s="611"/>
      <c r="G340" s="611"/>
      <c r="H340" s="611">
        <v>180548</v>
      </c>
    </row>
    <row r="341" spans="2:8" ht="12.75">
      <c r="B341" s="176"/>
      <c r="E341" t="s">
        <v>671</v>
      </c>
      <c r="F341" s="611"/>
      <c r="G341" s="611"/>
      <c r="H341" s="611">
        <v>5225705</v>
      </c>
    </row>
    <row r="342" spans="2:8" ht="12.75">
      <c r="B342" s="176"/>
      <c r="F342" s="611"/>
      <c r="G342" s="611"/>
      <c r="H342" s="611"/>
    </row>
    <row r="343" spans="2:8" ht="12.75">
      <c r="B343" s="176"/>
      <c r="D343" t="s">
        <v>854</v>
      </c>
      <c r="F343" s="611"/>
      <c r="G343" s="611"/>
      <c r="H343" s="611"/>
    </row>
    <row r="344" spans="2:8" ht="12.75">
      <c r="B344" s="176"/>
      <c r="D344" t="s">
        <v>855</v>
      </c>
      <c r="F344" s="611"/>
      <c r="G344" s="611"/>
      <c r="H344" s="611"/>
    </row>
    <row r="345" spans="2:8" ht="12.75">
      <c r="B345" s="176"/>
      <c r="F345" s="611"/>
      <c r="G345" s="611"/>
      <c r="H345" s="611"/>
    </row>
    <row r="346" spans="2:8" ht="12.75">
      <c r="B346" s="176"/>
      <c r="F346" s="611"/>
      <c r="G346" s="611"/>
      <c r="H346" s="611"/>
    </row>
    <row r="347" spans="2:8" ht="12.75">
      <c r="B347" s="176" t="s">
        <v>258</v>
      </c>
      <c r="D347" t="s">
        <v>279</v>
      </c>
      <c r="F347" s="611">
        <v>200000</v>
      </c>
      <c r="G347" s="611"/>
      <c r="H347" s="611"/>
    </row>
    <row r="348" spans="2:8" ht="12.75">
      <c r="B348" s="176"/>
      <c r="D348" t="s">
        <v>53</v>
      </c>
      <c r="F348" s="611">
        <v>5802439</v>
      </c>
      <c r="G348" s="611"/>
      <c r="H348" s="611"/>
    </row>
    <row r="349" spans="2:8" ht="12.75">
      <c r="B349" s="176"/>
      <c r="E349" t="s">
        <v>707</v>
      </c>
      <c r="F349" s="611"/>
      <c r="G349" s="611"/>
      <c r="H349" s="611">
        <v>2439</v>
      </c>
    </row>
    <row r="350" spans="2:8" ht="12.75">
      <c r="B350" s="176"/>
      <c r="E350" t="s">
        <v>671</v>
      </c>
      <c r="F350" s="611"/>
      <c r="G350" s="611"/>
      <c r="H350" s="611">
        <v>6000000</v>
      </c>
    </row>
    <row r="351" spans="2:8" ht="12.75">
      <c r="B351" s="176"/>
      <c r="F351" s="611"/>
      <c r="G351" s="611"/>
      <c r="H351" s="611"/>
    </row>
    <row r="352" spans="2:8" ht="12.75">
      <c r="B352" s="176"/>
      <c r="D352" t="s">
        <v>856</v>
      </c>
      <c r="F352" s="611"/>
      <c r="G352" s="611"/>
      <c r="H352" s="611"/>
    </row>
    <row r="353" spans="2:8" ht="12.75">
      <c r="B353" s="176"/>
      <c r="F353" s="611"/>
      <c r="G353" s="611"/>
      <c r="H353" s="611"/>
    </row>
    <row r="354" spans="2:8" ht="12.75">
      <c r="B354" s="176"/>
      <c r="F354" s="611"/>
      <c r="G354" s="611"/>
      <c r="H354" s="611"/>
    </row>
    <row r="355" spans="2:8" ht="12.75">
      <c r="B355" s="176" t="s">
        <v>263</v>
      </c>
      <c r="D355" t="s">
        <v>279</v>
      </c>
      <c r="F355" s="611">
        <v>250000</v>
      </c>
      <c r="G355" s="611"/>
      <c r="H355" s="611"/>
    </row>
    <row r="356" spans="2:8" ht="12.75">
      <c r="B356" s="176"/>
      <c r="D356" t="s">
        <v>848</v>
      </c>
      <c r="F356" s="611">
        <v>19807</v>
      </c>
      <c r="G356" s="611"/>
      <c r="H356" s="611"/>
    </row>
    <row r="357" spans="2:8" ht="12.75">
      <c r="B357" s="176"/>
      <c r="E357" t="s">
        <v>671</v>
      </c>
      <c r="F357" s="611"/>
      <c r="G357" s="611"/>
      <c r="H357" s="611">
        <v>187500</v>
      </c>
    </row>
    <row r="358" spans="2:8" ht="12.75">
      <c r="B358" s="176"/>
      <c r="E358" t="s">
        <v>849</v>
      </c>
      <c r="F358" s="611"/>
      <c r="G358" s="611"/>
      <c r="H358" s="611">
        <v>14856</v>
      </c>
    </row>
    <row r="359" spans="2:8" ht="12.75">
      <c r="B359" s="176"/>
      <c r="E359" t="s">
        <v>720</v>
      </c>
      <c r="F359" s="611"/>
      <c r="G359" s="611"/>
      <c r="H359" s="611">
        <v>67451</v>
      </c>
    </row>
    <row r="360" spans="2:8" ht="12.75">
      <c r="B360" s="176"/>
      <c r="F360" s="611"/>
      <c r="G360" s="611"/>
      <c r="H360" s="611"/>
    </row>
    <row r="361" spans="2:8" ht="12.75">
      <c r="B361" s="176"/>
      <c r="D361" t="s">
        <v>857</v>
      </c>
      <c r="F361" s="611"/>
      <c r="G361" s="611"/>
      <c r="H361" s="611"/>
    </row>
    <row r="362" spans="2:8" ht="12.75">
      <c r="B362" s="176"/>
      <c r="D362" t="s">
        <v>858</v>
      </c>
      <c r="F362" s="611"/>
      <c r="G362" s="611"/>
      <c r="H362" s="611"/>
    </row>
    <row r="363" spans="2:8" ht="12.75">
      <c r="B363" s="176"/>
      <c r="F363" s="611"/>
      <c r="G363" s="611"/>
      <c r="H363" s="611"/>
    </row>
    <row r="364" spans="2:8" ht="12.75">
      <c r="B364" s="176"/>
      <c r="F364" s="611"/>
      <c r="G364" s="611"/>
      <c r="H364" s="611"/>
    </row>
    <row r="365" spans="2:8" ht="12.75">
      <c r="B365" s="176" t="s">
        <v>271</v>
      </c>
      <c r="D365" t="s">
        <v>773</v>
      </c>
      <c r="F365" s="611">
        <v>-171</v>
      </c>
      <c r="G365" s="611"/>
      <c r="H365" s="611"/>
    </row>
    <row r="366" spans="2:8" ht="12.75">
      <c r="B366" s="176"/>
      <c r="E366" t="s">
        <v>720</v>
      </c>
      <c r="F366" s="611"/>
      <c r="G366" s="611"/>
      <c r="H366" s="611">
        <v>-171</v>
      </c>
    </row>
    <row r="367" spans="2:8" ht="12.75">
      <c r="B367" s="176"/>
      <c r="F367" s="611"/>
      <c r="G367" s="611"/>
      <c r="H367" s="611"/>
    </row>
    <row r="368" spans="2:8" ht="12.75">
      <c r="B368" s="176"/>
      <c r="D368" t="s">
        <v>859</v>
      </c>
      <c r="F368" s="611"/>
      <c r="G368" s="611"/>
      <c r="H368" s="611"/>
    </row>
    <row r="369" spans="2:8" ht="12.75">
      <c r="B369" s="176"/>
      <c r="F369" s="611"/>
      <c r="G369" s="611"/>
      <c r="H369" s="611"/>
    </row>
    <row r="370" spans="2:8" ht="12.75">
      <c r="B370" s="176"/>
      <c r="F370" s="611"/>
      <c r="G370" s="611"/>
      <c r="H370" s="611"/>
    </row>
    <row r="371" spans="2:8" ht="12.75">
      <c r="B371" s="176" t="s">
        <v>274</v>
      </c>
      <c r="D371" t="s">
        <v>279</v>
      </c>
      <c r="F371" s="611">
        <v>100000</v>
      </c>
      <c r="G371" s="611"/>
      <c r="H371" s="611"/>
    </row>
    <row r="372" spans="2:8" ht="12.75">
      <c r="B372" s="176"/>
      <c r="D372" t="s">
        <v>53</v>
      </c>
      <c r="F372" s="611">
        <v>105207</v>
      </c>
      <c r="G372" s="611"/>
      <c r="H372" s="611"/>
    </row>
    <row r="373" spans="2:8" ht="12.75">
      <c r="B373" s="176"/>
      <c r="E373" t="s">
        <v>707</v>
      </c>
      <c r="F373" s="611"/>
      <c r="G373" s="611"/>
      <c r="H373" s="611">
        <v>105207</v>
      </c>
    </row>
    <row r="374" spans="2:8" ht="12.75">
      <c r="B374" s="176"/>
      <c r="E374" t="s">
        <v>671</v>
      </c>
      <c r="F374" s="611"/>
      <c r="G374" s="611"/>
      <c r="H374" s="611">
        <v>100000</v>
      </c>
    </row>
    <row r="375" spans="2:8" ht="12.75">
      <c r="B375" s="176"/>
      <c r="F375" s="611"/>
      <c r="G375" s="611"/>
      <c r="H375" s="611"/>
    </row>
    <row r="376" spans="2:8" ht="12.75">
      <c r="B376" s="176"/>
      <c r="D376" t="s">
        <v>860</v>
      </c>
      <c r="F376" s="611"/>
      <c r="G376" s="611"/>
      <c r="H376" s="611"/>
    </row>
    <row r="377" spans="2:8" ht="12.75">
      <c r="B377" s="176"/>
      <c r="D377" t="s">
        <v>861</v>
      </c>
      <c r="F377" s="611"/>
      <c r="G377" s="611"/>
      <c r="H377" s="611"/>
    </row>
    <row r="378" spans="2:8" ht="12.75">
      <c r="B378" s="176"/>
      <c r="F378" s="611"/>
      <c r="G378" s="611"/>
      <c r="H378" s="611"/>
    </row>
    <row r="379" spans="2:8" ht="12.75">
      <c r="B379" s="176"/>
      <c r="F379" s="611"/>
      <c r="G379" s="611"/>
      <c r="H379" s="611"/>
    </row>
    <row r="380" spans="2:8" ht="12.75">
      <c r="B380" s="176" t="s">
        <v>277</v>
      </c>
      <c r="D380" t="s">
        <v>809</v>
      </c>
      <c r="F380" s="611">
        <v>1288359</v>
      </c>
      <c r="G380" s="611"/>
      <c r="H380" s="611"/>
    </row>
    <row r="381" spans="2:8" ht="12.75">
      <c r="B381" s="176"/>
      <c r="E381" t="s">
        <v>34</v>
      </c>
      <c r="F381" s="611"/>
      <c r="G381" s="611"/>
      <c r="H381" s="611">
        <v>117996</v>
      </c>
    </row>
    <row r="382" spans="2:8" ht="12.75">
      <c r="B382" s="176"/>
      <c r="E382" t="s">
        <v>862</v>
      </c>
      <c r="F382" s="611"/>
      <c r="G382" s="611"/>
      <c r="H382" s="611">
        <v>2500</v>
      </c>
    </row>
    <row r="383" spans="2:8" ht="12.75">
      <c r="B383" s="176"/>
      <c r="E383" t="s">
        <v>863</v>
      </c>
      <c r="F383" s="611"/>
      <c r="G383" s="611"/>
      <c r="H383" s="611">
        <v>1167863</v>
      </c>
    </row>
    <row r="384" spans="2:8" ht="12.75">
      <c r="B384" s="176"/>
      <c r="F384" s="611"/>
      <c r="G384" s="611"/>
      <c r="H384" s="611"/>
    </row>
    <row r="385" spans="2:8" ht="12.75">
      <c r="B385" s="176"/>
      <c r="D385" t="s">
        <v>864</v>
      </c>
      <c r="F385" s="611"/>
      <c r="G385" s="611"/>
      <c r="H385" s="611"/>
    </row>
    <row r="386" spans="2:8" ht="12.75">
      <c r="B386" s="176"/>
      <c r="F386" s="611"/>
      <c r="G386" s="611"/>
      <c r="H386" s="611"/>
    </row>
    <row r="387" spans="2:8" ht="12.75">
      <c r="B387" s="176"/>
      <c r="F387" s="611"/>
      <c r="G387" s="611"/>
      <c r="H387" s="611"/>
    </row>
    <row r="388" spans="2:8" ht="12.75">
      <c r="B388" s="176" t="s">
        <v>297</v>
      </c>
      <c r="D388" t="s">
        <v>962</v>
      </c>
      <c r="F388" s="611">
        <v>0</v>
      </c>
      <c r="G388" s="611"/>
      <c r="H388" s="611"/>
    </row>
    <row r="389" spans="2:8" ht="12.75">
      <c r="B389" s="176"/>
      <c r="E389" t="s">
        <v>832</v>
      </c>
      <c r="F389" s="611"/>
      <c r="G389" s="611"/>
      <c r="H389" s="611">
        <v>0</v>
      </c>
    </row>
    <row r="390" spans="2:8" ht="12.75">
      <c r="B390" s="176"/>
      <c r="F390" s="611"/>
      <c r="G390" s="611"/>
      <c r="H390" s="611"/>
    </row>
    <row r="391" spans="2:8" ht="12.75">
      <c r="B391" s="176"/>
      <c r="D391" t="s">
        <v>963</v>
      </c>
      <c r="F391" s="611"/>
      <c r="G391" s="611"/>
      <c r="H391" s="611"/>
    </row>
    <row r="392" spans="2:8" ht="12.75">
      <c r="B392" s="176"/>
      <c r="F392" s="611"/>
      <c r="G392" s="611"/>
      <c r="H392" s="611"/>
    </row>
    <row r="393" spans="2:8" ht="12.75">
      <c r="B393" s="176"/>
      <c r="F393" s="611"/>
      <c r="G393" s="611"/>
      <c r="H393" s="611"/>
    </row>
    <row r="394" spans="2:8" ht="12.75">
      <c r="B394" s="176" t="s">
        <v>301</v>
      </c>
      <c r="D394" t="s">
        <v>964</v>
      </c>
      <c r="F394" s="611">
        <v>659047</v>
      </c>
      <c r="G394" s="611"/>
      <c r="H394" s="611"/>
    </row>
    <row r="395" spans="2:8" ht="12.75">
      <c r="B395" s="176"/>
      <c r="D395" t="s">
        <v>967</v>
      </c>
      <c r="F395" s="611">
        <v>373419</v>
      </c>
      <c r="G395" s="611"/>
      <c r="H395" s="611"/>
    </row>
    <row r="396" spans="2:8" ht="12.75">
      <c r="B396" s="176"/>
      <c r="E396" t="s">
        <v>809</v>
      </c>
      <c r="F396" s="611"/>
      <c r="G396" s="611"/>
      <c r="H396" s="611">
        <v>1032466</v>
      </c>
    </row>
    <row r="397" spans="2:8" ht="12.75">
      <c r="B397" s="176"/>
      <c r="F397" s="611"/>
      <c r="G397" s="611"/>
      <c r="H397" s="611"/>
    </row>
    <row r="398" spans="2:8" ht="12.75">
      <c r="B398" s="176"/>
      <c r="D398" t="s">
        <v>968</v>
      </c>
      <c r="F398" s="611"/>
      <c r="G398" s="611"/>
      <c r="H398" s="611"/>
    </row>
    <row r="399" spans="2:8" ht="12.75">
      <c r="B399" s="176"/>
      <c r="F399" s="611"/>
      <c r="G399" s="611"/>
      <c r="H399" s="611"/>
    </row>
    <row r="400" spans="2:8" ht="12.75">
      <c r="B400" s="176"/>
      <c r="F400" s="611"/>
      <c r="G400" s="611"/>
      <c r="H400" s="611"/>
    </row>
    <row r="401" spans="2:8" ht="12.75">
      <c r="B401" s="176" t="s">
        <v>306</v>
      </c>
      <c r="D401" t="s">
        <v>971</v>
      </c>
      <c r="F401" s="611">
        <v>1043599</v>
      </c>
      <c r="G401" s="611"/>
      <c r="H401" s="611"/>
    </row>
    <row r="402" spans="2:8" ht="12.75">
      <c r="B402" s="176"/>
      <c r="E402" t="s">
        <v>739</v>
      </c>
      <c r="F402" s="611"/>
      <c r="G402" s="611"/>
      <c r="H402" s="611">
        <v>1043599</v>
      </c>
    </row>
    <row r="403" spans="2:8" ht="12.75">
      <c r="B403" s="176"/>
      <c r="F403" s="611"/>
      <c r="G403" s="611"/>
      <c r="H403" s="611"/>
    </row>
    <row r="404" spans="2:8" ht="12.75">
      <c r="B404" s="176"/>
      <c r="D404" t="s">
        <v>972</v>
      </c>
      <c r="F404" s="611"/>
      <c r="G404" s="611"/>
      <c r="H404" s="611"/>
    </row>
    <row r="405" spans="2:8" ht="12.75">
      <c r="B405" s="176"/>
      <c r="F405" s="611"/>
      <c r="G405" s="611"/>
      <c r="H405" s="611"/>
    </row>
    <row r="406" spans="2:8" ht="12.75">
      <c r="B406" s="176"/>
      <c r="F406" s="611"/>
      <c r="G406" s="611"/>
      <c r="H406" s="611"/>
    </row>
    <row r="407" spans="2:8" ht="12.75">
      <c r="B407" s="176" t="s">
        <v>308</v>
      </c>
      <c r="D407" t="s">
        <v>279</v>
      </c>
      <c r="F407" s="611">
        <v>500000</v>
      </c>
      <c r="G407" s="611"/>
      <c r="H407" s="611"/>
    </row>
    <row r="408" spans="2:8" ht="12.75">
      <c r="B408" s="176"/>
      <c r="D408" t="s">
        <v>53</v>
      </c>
      <c r="F408" s="611">
        <v>1002834</v>
      </c>
      <c r="G408" s="611"/>
      <c r="H408" s="611"/>
    </row>
    <row r="409" spans="2:8" ht="12.75">
      <c r="B409" s="176"/>
      <c r="E409" t="s">
        <v>671</v>
      </c>
      <c r="F409" s="611"/>
      <c r="G409" s="611"/>
      <c r="H409" s="611">
        <v>1500000</v>
      </c>
    </row>
    <row r="410" spans="2:8" ht="12.75">
      <c r="B410" s="176"/>
      <c r="E410" t="s">
        <v>707</v>
      </c>
      <c r="F410" s="611"/>
      <c r="G410" s="611"/>
      <c r="H410" s="611">
        <v>2834</v>
      </c>
    </row>
    <row r="411" spans="2:8" ht="12.75">
      <c r="B411" s="176"/>
      <c r="F411" s="611"/>
      <c r="G411" s="611"/>
      <c r="H411" s="611"/>
    </row>
    <row r="412" spans="2:8" ht="12.75">
      <c r="B412" s="176"/>
      <c r="D412" t="s">
        <v>973</v>
      </c>
      <c r="F412" s="611"/>
      <c r="G412" s="611"/>
      <c r="H412" s="611"/>
    </row>
    <row r="413" spans="2:8" ht="12.75">
      <c r="B413" s="176"/>
      <c r="D413" t="s">
        <v>974</v>
      </c>
      <c r="F413" s="611"/>
      <c r="G413" s="611"/>
      <c r="H413" s="611"/>
    </row>
    <row r="414" spans="2:8" ht="12.75">
      <c r="B414" s="176"/>
      <c r="F414" s="611"/>
      <c r="G414" s="611"/>
      <c r="H414" s="611"/>
    </row>
    <row r="415" spans="2:8" ht="12.75">
      <c r="B415" s="176"/>
      <c r="F415" s="611"/>
      <c r="G415" s="611"/>
      <c r="H415" s="611"/>
    </row>
    <row r="416" spans="2:8" ht="12.75">
      <c r="B416" s="176" t="s">
        <v>311</v>
      </c>
      <c r="D416" t="s">
        <v>279</v>
      </c>
      <c r="F416" s="611">
        <v>10000</v>
      </c>
      <c r="G416" s="611"/>
      <c r="H416" s="611"/>
    </row>
    <row r="417" spans="2:8" ht="12.75">
      <c r="B417" s="176"/>
      <c r="D417" t="s">
        <v>53</v>
      </c>
      <c r="F417" s="611">
        <v>4345965</v>
      </c>
      <c r="G417" s="611"/>
      <c r="H417" s="611"/>
    </row>
    <row r="418" spans="2:8" ht="12.75">
      <c r="B418" s="176"/>
      <c r="E418" t="s">
        <v>671</v>
      </c>
      <c r="F418" s="611"/>
      <c r="G418" s="611"/>
      <c r="H418" s="611">
        <v>4350000</v>
      </c>
    </row>
    <row r="419" spans="2:8" ht="12.75">
      <c r="B419" s="176"/>
      <c r="E419" t="s">
        <v>707</v>
      </c>
      <c r="F419" s="611"/>
      <c r="G419" s="611"/>
      <c r="H419" s="611">
        <v>5965</v>
      </c>
    </row>
    <row r="420" spans="2:8" ht="12.75">
      <c r="B420" s="176"/>
      <c r="F420" s="611"/>
      <c r="G420" s="611"/>
      <c r="H420" s="611"/>
    </row>
    <row r="421" spans="2:8" ht="12.75">
      <c r="B421" s="176"/>
      <c r="D421" t="s">
        <v>973</v>
      </c>
      <c r="F421" s="611"/>
      <c r="G421" s="611"/>
      <c r="H421" s="611"/>
    </row>
    <row r="422" spans="2:8" ht="12.75">
      <c r="B422" s="176"/>
      <c r="D422" t="s">
        <v>975</v>
      </c>
      <c r="F422" s="611"/>
      <c r="G422" s="611"/>
      <c r="H422" s="611"/>
    </row>
    <row r="423" spans="2:8" ht="12.75">
      <c r="B423" s="176"/>
      <c r="F423" s="611"/>
      <c r="G423" s="611"/>
      <c r="H423" s="611"/>
    </row>
    <row r="424" spans="2:8" ht="12.75">
      <c r="B424" s="176"/>
      <c r="F424" s="611"/>
      <c r="G424" s="611"/>
      <c r="H424" s="611"/>
    </row>
    <row r="425" spans="2:8" ht="12.75">
      <c r="B425" s="176" t="s">
        <v>320</v>
      </c>
      <c r="D425" t="s">
        <v>809</v>
      </c>
      <c r="F425" s="611">
        <v>525723</v>
      </c>
      <c r="G425" s="611"/>
      <c r="H425" s="611"/>
    </row>
    <row r="426" spans="2:8" ht="12.75">
      <c r="B426" s="176"/>
      <c r="E426" t="s">
        <v>739</v>
      </c>
      <c r="F426" s="611"/>
      <c r="G426" s="611"/>
      <c r="H426" s="611">
        <v>525723</v>
      </c>
    </row>
    <row r="427" spans="2:8" ht="12.75">
      <c r="B427" s="176"/>
      <c r="F427" s="611"/>
      <c r="G427" s="611"/>
      <c r="H427" s="611"/>
    </row>
    <row r="428" spans="2:8" ht="12.75">
      <c r="B428" s="176"/>
      <c r="D428" t="s">
        <v>976</v>
      </c>
      <c r="F428" s="611"/>
      <c r="G428" s="611"/>
      <c r="H428" s="611"/>
    </row>
    <row r="429" spans="2:8" ht="12.75">
      <c r="B429" s="176"/>
      <c r="D429" t="s">
        <v>977</v>
      </c>
      <c r="F429" s="611"/>
      <c r="G429" s="611"/>
      <c r="H429" s="611"/>
    </row>
    <row r="430" spans="2:8" ht="12.75">
      <c r="B430" s="176"/>
      <c r="D430" t="s">
        <v>978</v>
      </c>
      <c r="F430" s="611"/>
      <c r="G430" s="611"/>
      <c r="H430" s="611"/>
    </row>
    <row r="431" spans="2:8" ht="12.75">
      <c r="B431" s="176"/>
      <c r="F431" s="611"/>
      <c r="G431" s="611"/>
      <c r="H431" s="611"/>
    </row>
    <row r="432" spans="2:8" ht="12.75">
      <c r="B432" s="176"/>
      <c r="F432" s="611"/>
      <c r="G432" s="611"/>
      <c r="H432" s="611"/>
    </row>
    <row r="433" spans="2:8" ht="12.75">
      <c r="B433" s="176" t="s">
        <v>322</v>
      </c>
      <c r="D433" t="s">
        <v>298</v>
      </c>
      <c r="F433" s="611">
        <v>0</v>
      </c>
      <c r="G433" s="611"/>
      <c r="H433" s="611"/>
    </row>
    <row r="434" spans="2:8" ht="12.75">
      <c r="B434" s="176"/>
      <c r="E434" t="s">
        <v>809</v>
      </c>
      <c r="F434" s="611"/>
      <c r="G434" s="611"/>
      <c r="H434" s="611">
        <v>0</v>
      </c>
    </row>
    <row r="435" spans="2:8" ht="12.75">
      <c r="B435" s="176"/>
      <c r="F435" s="611"/>
      <c r="G435" s="611"/>
      <c r="H435" s="611"/>
    </row>
    <row r="436" spans="2:8" ht="12.75">
      <c r="B436" s="176"/>
      <c r="D436" t="s">
        <v>979</v>
      </c>
      <c r="F436" s="611"/>
      <c r="G436" s="611"/>
      <c r="H436" s="611"/>
    </row>
    <row r="437" spans="2:8" ht="12.75">
      <c r="B437" s="176"/>
      <c r="D437" t="s">
        <v>980</v>
      </c>
      <c r="F437" s="611"/>
      <c r="G437" s="611"/>
      <c r="H437" s="611"/>
    </row>
    <row r="438" spans="2:8" ht="12.75">
      <c r="B438" s="176"/>
      <c r="F438" s="611"/>
      <c r="G438" s="611"/>
      <c r="H438" s="611"/>
    </row>
    <row r="439" spans="2:8" ht="12.75">
      <c r="B439" s="176"/>
      <c r="F439" s="611"/>
      <c r="G439" s="611"/>
      <c r="H439" s="611"/>
    </row>
    <row r="440" spans="2:8" ht="12.75">
      <c r="B440" s="176" t="s">
        <v>325</v>
      </c>
      <c r="D440" t="s">
        <v>981</v>
      </c>
      <c r="F440" s="611">
        <v>931804</v>
      </c>
      <c r="G440" s="611"/>
      <c r="H440" s="611"/>
    </row>
    <row r="441" spans="2:8" ht="12.75">
      <c r="B441" s="176"/>
      <c r="D441" t="s">
        <v>982</v>
      </c>
      <c r="F441" s="611">
        <v>406716</v>
      </c>
      <c r="G441" s="611"/>
      <c r="H441" s="611"/>
    </row>
    <row r="442" spans="2:8" ht="12.75">
      <c r="B442" s="176"/>
      <c r="E442" t="s">
        <v>982</v>
      </c>
      <c r="F442" s="611"/>
      <c r="G442" s="611"/>
      <c r="H442" s="611">
        <v>1338520</v>
      </c>
    </row>
    <row r="443" spans="2:8" ht="12.75">
      <c r="B443" s="176"/>
      <c r="F443" s="611"/>
      <c r="G443" s="611"/>
      <c r="H443" s="611"/>
    </row>
    <row r="444" spans="2:8" ht="12.75">
      <c r="B444" s="176"/>
      <c r="D444" t="s">
        <v>983</v>
      </c>
      <c r="F444" s="611"/>
      <c r="G444" s="611"/>
      <c r="H444" s="611"/>
    </row>
    <row r="445" spans="2:8" ht="12.75">
      <c r="B445" s="176"/>
      <c r="F445" s="611"/>
      <c r="G445" s="611"/>
      <c r="H445" s="611"/>
    </row>
    <row r="446" spans="2:8" ht="12.75">
      <c r="B446" s="176"/>
      <c r="F446" s="611"/>
      <c r="G446" s="611"/>
      <c r="H446" s="611"/>
    </row>
    <row r="447" spans="2:8" ht="12.75">
      <c r="B447" s="176" t="s">
        <v>326</v>
      </c>
      <c r="D447" t="s">
        <v>809</v>
      </c>
      <c r="F447" s="611">
        <v>3000000</v>
      </c>
      <c r="G447" s="611"/>
      <c r="H447" s="611"/>
    </row>
    <row r="448" spans="2:9" ht="12.75">
      <c r="B448" s="176"/>
      <c r="E448" t="s">
        <v>125</v>
      </c>
      <c r="F448" s="611"/>
      <c r="G448" s="611"/>
      <c r="H448" s="611">
        <v>900000</v>
      </c>
      <c r="I448" s="212"/>
    </row>
    <row r="449" spans="2:8" ht="12.75">
      <c r="B449" s="176"/>
      <c r="E449" t="s">
        <v>984</v>
      </c>
      <c r="F449" s="611"/>
      <c r="G449" s="611"/>
      <c r="H449" s="611">
        <v>2100000</v>
      </c>
    </row>
    <row r="450" spans="2:8" ht="12.75">
      <c r="B450" s="176"/>
      <c r="F450" s="611"/>
      <c r="G450" s="611"/>
      <c r="H450" s="611"/>
    </row>
    <row r="451" spans="2:8" ht="12.75">
      <c r="B451" s="176"/>
      <c r="D451" t="s">
        <v>985</v>
      </c>
      <c r="F451" s="611"/>
      <c r="G451" s="611"/>
      <c r="H451" s="611"/>
    </row>
    <row r="452" spans="2:8" ht="12.75">
      <c r="B452" s="176"/>
      <c r="D452" t="s">
        <v>986</v>
      </c>
      <c r="F452" s="611"/>
      <c r="G452" s="611"/>
      <c r="H452" s="611"/>
    </row>
    <row r="453" spans="2:8" ht="12.75">
      <c r="B453" s="176"/>
      <c r="D453" t="s">
        <v>987</v>
      </c>
      <c r="F453" s="611"/>
      <c r="G453" s="611"/>
      <c r="H453" s="611"/>
    </row>
    <row r="454" spans="2:8" ht="12.75">
      <c r="B454" s="176"/>
      <c r="F454" s="611"/>
      <c r="G454" s="611"/>
      <c r="H454" s="611"/>
    </row>
    <row r="455" spans="2:8" ht="12.75">
      <c r="B455" s="176"/>
      <c r="F455" s="611"/>
      <c r="G455" s="611"/>
      <c r="H455" s="611"/>
    </row>
    <row r="456" spans="2:8" ht="12.75">
      <c r="B456" s="176" t="s">
        <v>330</v>
      </c>
      <c r="D456" t="s">
        <v>688</v>
      </c>
      <c r="F456" s="611">
        <v>71092</v>
      </c>
      <c r="G456" s="611"/>
      <c r="H456" s="611"/>
    </row>
    <row r="457" spans="2:8" ht="12.75">
      <c r="B457" s="176"/>
      <c r="E457" t="s">
        <v>674</v>
      </c>
      <c r="F457" s="611"/>
      <c r="G457" s="611"/>
      <c r="H457" s="611">
        <v>71092</v>
      </c>
    </row>
    <row r="458" spans="2:8" ht="12.75">
      <c r="B458" s="176"/>
      <c r="F458" s="611"/>
      <c r="G458" s="611"/>
      <c r="H458" s="611"/>
    </row>
    <row r="459" spans="2:8" ht="12.75">
      <c r="B459" s="176"/>
      <c r="D459" t="s">
        <v>737</v>
      </c>
      <c r="F459" s="611"/>
      <c r="G459" s="611"/>
      <c r="H459" s="611"/>
    </row>
    <row r="460" spans="2:8" ht="12.75">
      <c r="B460" s="176"/>
      <c r="D460" t="s">
        <v>988</v>
      </c>
      <c r="F460" s="611"/>
      <c r="G460" s="611"/>
      <c r="H460" s="611"/>
    </row>
    <row r="461" spans="2:8" ht="12.75">
      <c r="B461" s="176"/>
      <c r="F461" s="611"/>
      <c r="G461" s="611"/>
      <c r="H461" s="611"/>
    </row>
    <row r="462" spans="2:8" ht="12.75">
      <c r="B462" s="176"/>
      <c r="F462" s="611"/>
      <c r="G462" s="611"/>
      <c r="H462" s="611"/>
    </row>
    <row r="463" spans="2:8" ht="12.75">
      <c r="B463" s="176" t="s">
        <v>332</v>
      </c>
      <c r="D463" t="s">
        <v>676</v>
      </c>
      <c r="F463" s="611">
        <v>90000</v>
      </c>
      <c r="G463" s="611"/>
      <c r="H463" s="611"/>
    </row>
    <row r="464" spans="2:8" ht="12.75">
      <c r="B464" s="176"/>
      <c r="E464" t="s">
        <v>674</v>
      </c>
      <c r="F464" s="611"/>
      <c r="G464" s="611"/>
      <c r="H464" s="611">
        <v>90000</v>
      </c>
    </row>
    <row r="465" spans="2:8" ht="12.75">
      <c r="B465" s="176"/>
      <c r="F465" s="611"/>
      <c r="G465" s="611"/>
      <c r="H465" s="611"/>
    </row>
    <row r="466" spans="2:8" ht="12.75">
      <c r="B466" s="176"/>
      <c r="D466" t="s">
        <v>795</v>
      </c>
      <c r="F466" s="611"/>
      <c r="G466" s="611"/>
      <c r="H466" s="611"/>
    </row>
    <row r="467" spans="2:8" ht="12.75">
      <c r="B467" s="176"/>
      <c r="D467" t="s">
        <v>989</v>
      </c>
      <c r="F467" s="611"/>
      <c r="G467" s="611"/>
      <c r="H467" s="611"/>
    </row>
    <row r="468" spans="2:8" ht="12.75">
      <c r="B468" s="176"/>
      <c r="F468" s="611"/>
      <c r="G468" s="611"/>
      <c r="H468" s="611"/>
    </row>
    <row r="469" spans="2:8" ht="12.75">
      <c r="B469" s="176"/>
      <c r="F469" s="611"/>
      <c r="G469" s="611"/>
      <c r="H469" s="611"/>
    </row>
    <row r="470" spans="2:8" ht="12.75">
      <c r="B470" s="176" t="s">
        <v>334</v>
      </c>
      <c r="D470" t="s">
        <v>688</v>
      </c>
      <c r="F470" s="611">
        <v>232098</v>
      </c>
      <c r="G470" s="611"/>
      <c r="H470" s="611"/>
    </row>
    <row r="471" spans="2:8" ht="12.75">
      <c r="B471" s="176"/>
      <c r="E471" t="s">
        <v>674</v>
      </c>
      <c r="F471" s="611"/>
      <c r="G471" s="611"/>
      <c r="H471" s="611">
        <v>232098</v>
      </c>
    </row>
    <row r="472" spans="2:8" ht="12.75">
      <c r="B472" s="176"/>
      <c r="F472" s="611"/>
      <c r="G472" s="611"/>
      <c r="H472" s="611"/>
    </row>
    <row r="473" spans="2:8" ht="12.75">
      <c r="B473" s="176"/>
      <c r="D473" t="s">
        <v>990</v>
      </c>
      <c r="F473" s="611"/>
      <c r="G473" s="611"/>
      <c r="H473" s="611"/>
    </row>
    <row r="474" spans="2:8" ht="12.75">
      <c r="B474" s="176"/>
      <c r="D474" t="s">
        <v>991</v>
      </c>
      <c r="F474" s="611"/>
      <c r="G474" s="611"/>
      <c r="H474" s="611"/>
    </row>
    <row r="475" spans="2:8" ht="12.75">
      <c r="B475" s="176"/>
      <c r="F475" s="611"/>
      <c r="G475" s="611"/>
      <c r="H475" s="611"/>
    </row>
    <row r="476" spans="2:8" ht="12.75">
      <c r="B476" s="176"/>
      <c r="F476" s="611"/>
      <c r="G476" s="611"/>
      <c r="H476" s="611"/>
    </row>
    <row r="477" spans="2:8" ht="12.75">
      <c r="B477" s="176" t="s">
        <v>336</v>
      </c>
      <c r="D477" t="s">
        <v>688</v>
      </c>
      <c r="F477" s="611">
        <v>440015</v>
      </c>
      <c r="G477" s="611"/>
      <c r="H477" s="611"/>
    </row>
    <row r="478" spans="2:8" ht="12.75">
      <c r="B478" s="176"/>
      <c r="E478" t="s">
        <v>674</v>
      </c>
      <c r="F478" s="611"/>
      <c r="G478" s="611"/>
      <c r="H478" s="611">
        <v>440015</v>
      </c>
    </row>
    <row r="479" spans="2:8" ht="12.75">
      <c r="B479" s="176"/>
      <c r="F479" s="611"/>
      <c r="G479" s="611"/>
      <c r="H479" s="611"/>
    </row>
    <row r="480" spans="2:8" ht="12.75">
      <c r="B480" s="176"/>
      <c r="D480" t="s">
        <v>992</v>
      </c>
      <c r="F480" s="611"/>
      <c r="G480" s="611"/>
      <c r="H480" s="611"/>
    </row>
    <row r="481" spans="2:8" ht="12.75">
      <c r="B481" s="176"/>
      <c r="D481" t="s">
        <v>991</v>
      </c>
      <c r="F481" s="611"/>
      <c r="G481" s="611"/>
      <c r="H481" s="611"/>
    </row>
    <row r="482" spans="2:8" ht="12.75">
      <c r="B482" s="176"/>
      <c r="F482" s="611"/>
      <c r="G482" s="611"/>
      <c r="H482" s="611"/>
    </row>
    <row r="483" spans="2:8" ht="12.75">
      <c r="B483" s="176"/>
      <c r="F483" s="611"/>
      <c r="G483" s="611"/>
      <c r="H483" s="611"/>
    </row>
    <row r="484" spans="2:8" ht="12.75">
      <c r="B484" s="176" t="s">
        <v>348</v>
      </c>
      <c r="D484" t="s">
        <v>688</v>
      </c>
      <c r="F484" s="611">
        <v>40113</v>
      </c>
      <c r="G484" s="611"/>
      <c r="H484" s="611"/>
    </row>
    <row r="485" spans="2:8" ht="12.75">
      <c r="B485" s="176"/>
      <c r="E485" t="s">
        <v>674</v>
      </c>
      <c r="F485" s="611"/>
      <c r="G485" s="611"/>
      <c r="H485" s="611">
        <v>40113</v>
      </c>
    </row>
    <row r="486" spans="2:8" ht="12.75">
      <c r="B486" s="176"/>
      <c r="F486" s="611"/>
      <c r="G486" s="611"/>
      <c r="H486" s="611"/>
    </row>
    <row r="487" spans="2:8" ht="12.75">
      <c r="B487" s="176"/>
      <c r="D487" t="s">
        <v>713</v>
      </c>
      <c r="F487" s="611"/>
      <c r="G487" s="611"/>
      <c r="H487" s="611"/>
    </row>
    <row r="488" spans="2:8" ht="12.75">
      <c r="B488" s="176"/>
      <c r="D488" t="s">
        <v>993</v>
      </c>
      <c r="F488" s="611"/>
      <c r="G488" s="611"/>
      <c r="H488" s="611"/>
    </row>
    <row r="489" spans="2:8" ht="12.75">
      <c r="B489" s="176"/>
      <c r="F489" s="611"/>
      <c r="G489" s="611"/>
      <c r="H489" s="611"/>
    </row>
    <row r="490" spans="2:8" ht="12.75">
      <c r="B490" s="176"/>
      <c r="F490" s="611"/>
      <c r="G490" s="611"/>
      <c r="H490" s="611"/>
    </row>
    <row r="491" spans="2:8" ht="12.75">
      <c r="B491" s="176" t="s">
        <v>350</v>
      </c>
      <c r="D491" t="s">
        <v>688</v>
      </c>
      <c r="F491" s="611">
        <v>173839</v>
      </c>
      <c r="G491" s="611"/>
      <c r="H491" s="611"/>
    </row>
    <row r="492" spans="2:8" ht="12.75">
      <c r="B492" s="176"/>
      <c r="E492" t="s">
        <v>674</v>
      </c>
      <c r="F492" s="611"/>
      <c r="G492" s="611"/>
      <c r="H492" s="611">
        <v>173839</v>
      </c>
    </row>
    <row r="493" spans="2:8" ht="12.75">
      <c r="B493" s="176"/>
      <c r="F493" s="611"/>
      <c r="G493" s="611"/>
      <c r="H493" s="611"/>
    </row>
    <row r="494" spans="2:8" ht="12.75">
      <c r="B494" s="176"/>
      <c r="D494" t="s">
        <v>994</v>
      </c>
      <c r="F494" s="611"/>
      <c r="G494" s="611"/>
      <c r="H494" s="611"/>
    </row>
    <row r="495" spans="2:8" ht="12.75">
      <c r="B495" s="176"/>
      <c r="D495" t="s">
        <v>995</v>
      </c>
      <c r="F495" s="611"/>
      <c r="G495" s="611"/>
      <c r="H495" s="611"/>
    </row>
    <row r="496" spans="2:8" ht="12.75">
      <c r="B496" s="176"/>
      <c r="F496" s="611"/>
      <c r="G496" s="611"/>
      <c r="H496" s="611"/>
    </row>
    <row r="497" spans="2:8" ht="12.75">
      <c r="B497" s="176"/>
      <c r="F497" s="611"/>
      <c r="G497" s="611"/>
      <c r="H497" s="611"/>
    </row>
    <row r="498" spans="2:8" ht="12.75">
      <c r="B498" s="176" t="s">
        <v>373</v>
      </c>
      <c r="D498" t="s">
        <v>688</v>
      </c>
      <c r="F498" s="611">
        <v>4208</v>
      </c>
      <c r="G498" s="611"/>
      <c r="H498" s="611"/>
    </row>
    <row r="499" spans="2:8" ht="12.75">
      <c r="B499" s="176"/>
      <c r="E499" t="s">
        <v>674</v>
      </c>
      <c r="F499" s="611"/>
      <c r="G499" s="611"/>
      <c r="H499" s="611">
        <v>4208</v>
      </c>
    </row>
    <row r="500" spans="2:8" ht="12.75">
      <c r="B500" s="176"/>
      <c r="F500" s="611"/>
      <c r="G500" s="611"/>
      <c r="H500" s="611"/>
    </row>
    <row r="501" spans="2:8" ht="12.75">
      <c r="B501" s="176"/>
      <c r="D501" t="s">
        <v>996</v>
      </c>
      <c r="F501" s="611"/>
      <c r="G501" s="611"/>
      <c r="H501" s="611"/>
    </row>
    <row r="502" spans="2:8" ht="12.75">
      <c r="B502" s="176"/>
      <c r="D502" t="s">
        <v>989</v>
      </c>
      <c r="F502" s="611"/>
      <c r="G502" s="611"/>
      <c r="H502" s="611"/>
    </row>
    <row r="503" spans="2:8" ht="12.75">
      <c r="B503" s="176"/>
      <c r="F503" s="611"/>
      <c r="G503" s="611"/>
      <c r="H503" s="611"/>
    </row>
    <row r="504" spans="2:8" ht="12.75">
      <c r="B504" s="176"/>
      <c r="F504" s="611"/>
      <c r="G504" s="611"/>
      <c r="H504" s="611"/>
    </row>
    <row r="505" spans="2:8" ht="12.75">
      <c r="B505" s="176" t="s">
        <v>375</v>
      </c>
      <c r="D505" t="s">
        <v>688</v>
      </c>
      <c r="F505" s="611">
        <v>116000</v>
      </c>
      <c r="G505" s="611"/>
      <c r="H505" s="611"/>
    </row>
    <row r="506" spans="2:8" ht="12.75">
      <c r="B506" s="176"/>
      <c r="E506" t="s">
        <v>674</v>
      </c>
      <c r="F506" s="611"/>
      <c r="G506" s="611"/>
      <c r="H506" s="611">
        <v>116000</v>
      </c>
    </row>
    <row r="507" spans="2:8" ht="12.75">
      <c r="B507" s="176"/>
      <c r="F507" s="611"/>
      <c r="G507" s="611"/>
      <c r="H507" s="611"/>
    </row>
    <row r="508" spans="2:8" ht="12.75">
      <c r="B508" s="176"/>
      <c r="D508" t="s">
        <v>997</v>
      </c>
      <c r="F508" s="611"/>
      <c r="G508" s="611"/>
      <c r="H508" s="611"/>
    </row>
    <row r="509" spans="2:8" ht="12.75">
      <c r="B509" s="176"/>
      <c r="D509" t="s">
        <v>989</v>
      </c>
      <c r="F509" s="611"/>
      <c r="G509" s="611"/>
      <c r="H509" s="611"/>
    </row>
    <row r="510" spans="2:8" ht="12.75">
      <c r="B510" s="176"/>
      <c r="F510" s="611"/>
      <c r="G510" s="611"/>
      <c r="H510" s="611"/>
    </row>
    <row r="511" spans="2:8" ht="12.75">
      <c r="B511" s="183">
        <v>1998</v>
      </c>
      <c r="C511" s="184"/>
      <c r="D511" s="184"/>
      <c r="E511" s="184"/>
      <c r="F511" s="644"/>
      <c r="G511" s="644"/>
      <c r="H511" s="644"/>
    </row>
    <row r="512" spans="2:8" ht="12.75">
      <c r="B512" s="176"/>
      <c r="F512" s="611"/>
      <c r="G512" s="611"/>
      <c r="H512" s="611"/>
    </row>
    <row r="513" spans="2:8" ht="12.75">
      <c r="B513" s="176" t="s">
        <v>1129</v>
      </c>
      <c r="D513" t="s">
        <v>998</v>
      </c>
      <c r="F513" s="611">
        <v>99998</v>
      </c>
      <c r="G513" s="611"/>
      <c r="H513" s="611"/>
    </row>
    <row r="514" spans="2:8" ht="12.75">
      <c r="B514" s="176"/>
      <c r="D514" t="s">
        <v>999</v>
      </c>
      <c r="F514" s="611">
        <v>499998</v>
      </c>
      <c r="G514" s="611"/>
      <c r="H514" s="611"/>
    </row>
    <row r="515" spans="2:9" ht="12.75">
      <c r="B515" s="176"/>
      <c r="E515" t="s">
        <v>671</v>
      </c>
      <c r="F515" s="611"/>
      <c r="G515" s="611"/>
      <c r="H515" s="611">
        <v>99998</v>
      </c>
      <c r="I515" s="186"/>
    </row>
    <row r="516" spans="2:8" ht="12.75">
      <c r="B516" s="176"/>
      <c r="E516" t="s">
        <v>671</v>
      </c>
      <c r="F516" s="611"/>
      <c r="G516" s="611"/>
      <c r="H516" s="611">
        <v>499998</v>
      </c>
    </row>
    <row r="517" spans="2:8" ht="12.75">
      <c r="B517" s="176"/>
      <c r="F517" s="611"/>
      <c r="G517" s="611"/>
      <c r="H517" s="611"/>
    </row>
    <row r="518" spans="2:8" ht="12.75">
      <c r="B518" s="176"/>
      <c r="D518" t="s">
        <v>1006</v>
      </c>
      <c r="F518" s="611"/>
      <c r="G518" s="611"/>
      <c r="H518" s="611"/>
    </row>
    <row r="519" spans="2:8" ht="12.75">
      <c r="B519" s="176"/>
      <c r="F519" s="611"/>
      <c r="G519" s="611"/>
      <c r="H519" s="611"/>
    </row>
    <row r="520" spans="2:8" ht="12.75">
      <c r="B520" s="176"/>
      <c r="F520" s="611"/>
      <c r="G520" s="611"/>
      <c r="H520" s="611"/>
    </row>
    <row r="521" spans="2:8" ht="12.75">
      <c r="B521" s="176" t="s">
        <v>1130</v>
      </c>
      <c r="D521" t="s">
        <v>1007</v>
      </c>
      <c r="F521" s="611">
        <v>2</v>
      </c>
      <c r="G521" s="611"/>
      <c r="H521" s="611"/>
    </row>
    <row r="522" spans="2:8" ht="12.75">
      <c r="B522" s="176"/>
      <c r="D522" t="s">
        <v>1008</v>
      </c>
      <c r="F522" s="611">
        <v>2</v>
      </c>
      <c r="G522" s="611"/>
      <c r="H522" s="611"/>
    </row>
    <row r="523" spans="2:8" ht="12.75">
      <c r="B523" s="176"/>
      <c r="D523" t="s">
        <v>1009</v>
      </c>
      <c r="F523" s="611">
        <v>2</v>
      </c>
      <c r="G523" s="611"/>
      <c r="H523" s="611"/>
    </row>
    <row r="524" spans="2:8" ht="12.75">
      <c r="B524" s="176"/>
      <c r="E524" t="s">
        <v>671</v>
      </c>
      <c r="F524" s="611"/>
      <c r="G524" s="611"/>
      <c r="H524" s="611">
        <v>6</v>
      </c>
    </row>
    <row r="525" spans="2:8" ht="12.75">
      <c r="B525" s="176"/>
      <c r="F525" s="611"/>
      <c r="G525" s="611"/>
      <c r="H525" s="611"/>
    </row>
    <row r="526" spans="2:8" ht="12.75">
      <c r="B526" s="176"/>
      <c r="D526" t="s">
        <v>1010</v>
      </c>
      <c r="F526" s="611"/>
      <c r="G526" s="611"/>
      <c r="H526" s="611"/>
    </row>
    <row r="527" spans="2:8" ht="12.75">
      <c r="B527" s="176"/>
      <c r="F527" s="611"/>
      <c r="G527" s="611"/>
      <c r="H527" s="611"/>
    </row>
    <row r="528" spans="2:8" ht="12.75">
      <c r="B528" s="176"/>
      <c r="F528" s="611"/>
      <c r="G528" s="611"/>
      <c r="H528" s="611"/>
    </row>
    <row r="529" spans="2:8" ht="12.75">
      <c r="B529" s="176" t="s">
        <v>1131</v>
      </c>
      <c r="D529" t="s">
        <v>1011</v>
      </c>
      <c r="F529" s="611">
        <v>1000000</v>
      </c>
      <c r="G529" s="611"/>
      <c r="H529" s="611"/>
    </row>
    <row r="530" spans="2:8" ht="12.75">
      <c r="B530" s="176"/>
      <c r="E530" t="s">
        <v>1018</v>
      </c>
      <c r="F530" s="611"/>
      <c r="G530" s="611"/>
      <c r="H530" s="611">
        <v>962721</v>
      </c>
    </row>
    <row r="531" spans="2:8" ht="12.75">
      <c r="B531" s="176"/>
      <c r="E531" t="s">
        <v>1019</v>
      </c>
      <c r="F531" s="611"/>
      <c r="G531" s="611"/>
      <c r="H531" s="611">
        <v>37279</v>
      </c>
    </row>
    <row r="532" spans="2:8" ht="12.75">
      <c r="B532" s="176"/>
      <c r="F532" s="611"/>
      <c r="G532" s="611"/>
      <c r="H532" s="611"/>
    </row>
    <row r="533" spans="2:8" ht="12.75">
      <c r="B533" s="176"/>
      <c r="D533" t="s">
        <v>1020</v>
      </c>
      <c r="F533" s="611"/>
      <c r="G533" s="611"/>
      <c r="H533" s="611"/>
    </row>
    <row r="534" spans="2:8" ht="12.75">
      <c r="B534" s="176"/>
      <c r="D534" t="s">
        <v>1022</v>
      </c>
      <c r="F534" s="611"/>
      <c r="G534" s="611"/>
      <c r="H534" s="611"/>
    </row>
    <row r="535" spans="2:8" ht="12.75">
      <c r="B535" s="176"/>
      <c r="F535" s="611"/>
      <c r="G535" s="611"/>
      <c r="H535" s="611"/>
    </row>
    <row r="536" spans="2:8" ht="12.75">
      <c r="B536" s="176"/>
      <c r="F536" s="611"/>
      <c r="G536" s="611"/>
      <c r="H536" s="611"/>
    </row>
    <row r="537" spans="2:8" ht="12.75">
      <c r="B537" s="176" t="s">
        <v>1132</v>
      </c>
      <c r="D537" t="s">
        <v>1011</v>
      </c>
      <c r="F537" s="611">
        <v>2</v>
      </c>
      <c r="G537" s="611"/>
      <c r="H537" s="611"/>
    </row>
    <row r="538" spans="2:8" ht="12.75">
      <c r="B538" s="176"/>
      <c r="D538" t="s">
        <v>1019</v>
      </c>
      <c r="F538" s="611">
        <v>12765493</v>
      </c>
      <c r="G538" s="611"/>
      <c r="H538" s="611"/>
    </row>
    <row r="539" spans="2:8" ht="12.75">
      <c r="B539" s="176"/>
      <c r="E539" t="s">
        <v>279</v>
      </c>
      <c r="F539" s="611"/>
      <c r="G539" s="611"/>
      <c r="H539" s="611">
        <v>2</v>
      </c>
    </row>
    <row r="540" spans="2:8" ht="12.75">
      <c r="B540" s="176"/>
      <c r="E540" t="s">
        <v>1023</v>
      </c>
      <c r="F540" s="611"/>
      <c r="G540" s="611"/>
      <c r="H540" s="611">
        <v>2805721</v>
      </c>
    </row>
    <row r="541" spans="2:8" ht="12.75">
      <c r="B541" s="176"/>
      <c r="E541" t="s">
        <v>1024</v>
      </c>
      <c r="F541" s="611"/>
      <c r="G541" s="611"/>
      <c r="H541" s="611">
        <v>9959772</v>
      </c>
    </row>
    <row r="542" spans="2:8" ht="12.75">
      <c r="B542" s="176"/>
      <c r="F542" s="611"/>
      <c r="G542" s="611"/>
      <c r="H542" s="611"/>
    </row>
    <row r="543" spans="2:8" ht="12.75">
      <c r="B543" s="176"/>
      <c r="D543" t="s">
        <v>1025</v>
      </c>
      <c r="F543" s="611"/>
      <c r="G543" s="611"/>
      <c r="H543" s="611"/>
    </row>
    <row r="544" spans="2:8" ht="12.75">
      <c r="B544" s="176"/>
      <c r="F544" s="611"/>
      <c r="G544" s="611"/>
      <c r="H544" s="611"/>
    </row>
    <row r="545" spans="2:8" ht="12.75">
      <c r="B545" s="176"/>
      <c r="F545" s="611"/>
      <c r="G545" s="611"/>
      <c r="H545" s="611"/>
    </row>
    <row r="546" spans="2:8" ht="12.75">
      <c r="B546" s="176" t="s">
        <v>1133</v>
      </c>
      <c r="D546" t="s">
        <v>1026</v>
      </c>
      <c r="F546" s="611">
        <v>1495449</v>
      </c>
      <c r="G546" s="611"/>
      <c r="H546" s="611"/>
    </row>
    <row r="547" spans="2:8" ht="12.75">
      <c r="B547" s="176"/>
      <c r="E547" t="s">
        <v>36</v>
      </c>
      <c r="F547" s="611">
        <v>1504551</v>
      </c>
      <c r="G547" s="611"/>
      <c r="H547" s="611"/>
    </row>
    <row r="548" spans="2:8" ht="12.75">
      <c r="B548" s="176"/>
      <c r="E548" t="s">
        <v>1027</v>
      </c>
      <c r="F548" s="611"/>
      <c r="G548" s="611"/>
      <c r="H548" s="611">
        <v>3000000</v>
      </c>
    </row>
    <row r="549" spans="2:8" ht="12.75">
      <c r="B549" s="176"/>
      <c r="F549" s="611"/>
      <c r="G549" s="611"/>
      <c r="H549" s="611"/>
    </row>
    <row r="550" spans="2:8" ht="12.75">
      <c r="B550" s="176"/>
      <c r="D550" t="s">
        <v>1028</v>
      </c>
      <c r="F550" s="611"/>
      <c r="G550" s="611"/>
      <c r="H550" s="611"/>
    </row>
    <row r="551" spans="2:8" ht="12.75">
      <c r="B551" s="176"/>
      <c r="F551" s="611"/>
      <c r="G551" s="611"/>
      <c r="H551" s="611"/>
    </row>
    <row r="552" spans="2:8" ht="12.75">
      <c r="B552" s="176"/>
      <c r="F552" s="611"/>
      <c r="G552" s="611"/>
      <c r="H552" s="611"/>
    </row>
    <row r="553" spans="2:8" ht="12.75">
      <c r="B553" s="176" t="s">
        <v>1134</v>
      </c>
      <c r="D553" t="s">
        <v>688</v>
      </c>
      <c r="F553" s="611">
        <v>119636</v>
      </c>
      <c r="G553" s="611"/>
      <c r="H553" s="611"/>
    </row>
    <row r="554" spans="2:8" ht="12.75">
      <c r="B554" s="176"/>
      <c r="E554" t="s">
        <v>674</v>
      </c>
      <c r="F554" s="611"/>
      <c r="G554" s="611"/>
      <c r="H554" s="611">
        <v>119636</v>
      </c>
    </row>
    <row r="555" spans="2:8" ht="12.75">
      <c r="B555" s="176"/>
      <c r="F555" s="611"/>
      <c r="G555" s="611"/>
      <c r="H555" s="611"/>
    </row>
    <row r="556" spans="2:8" ht="12.75">
      <c r="B556" s="176"/>
      <c r="D556" t="s">
        <v>1135</v>
      </c>
      <c r="F556" s="611"/>
      <c r="G556" s="611"/>
      <c r="H556" s="611"/>
    </row>
    <row r="557" spans="2:8" ht="12.75">
      <c r="B557" s="176"/>
      <c r="D557" t="s">
        <v>1029</v>
      </c>
      <c r="F557" s="611"/>
      <c r="G557" s="611"/>
      <c r="H557" s="611"/>
    </row>
    <row r="558" spans="2:8" ht="12.75">
      <c r="B558" s="176"/>
      <c r="F558" s="611"/>
      <c r="G558" s="611"/>
      <c r="H558" s="611"/>
    </row>
    <row r="559" spans="2:8" ht="12.75">
      <c r="B559" s="176"/>
      <c r="F559" s="611"/>
      <c r="G559" s="611"/>
      <c r="H559" s="611"/>
    </row>
    <row r="560" spans="2:8" ht="12.75">
      <c r="B560" s="176" t="s">
        <v>1136</v>
      </c>
      <c r="D560" t="s">
        <v>688</v>
      </c>
      <c r="F560" s="611">
        <v>1564012</v>
      </c>
      <c r="G560" s="611"/>
      <c r="H560" s="611"/>
    </row>
    <row r="561" spans="2:8" ht="12.75">
      <c r="B561" s="176"/>
      <c r="E561" t="s">
        <v>674</v>
      </c>
      <c r="F561" s="611"/>
      <c r="G561" s="611"/>
      <c r="H561" s="611">
        <v>1564012</v>
      </c>
    </row>
    <row r="562" spans="2:8" ht="12.75">
      <c r="B562" s="176"/>
      <c r="F562" s="611"/>
      <c r="G562" s="611"/>
      <c r="H562" s="611"/>
    </row>
    <row r="563" spans="2:8" ht="12.75">
      <c r="B563" s="176"/>
      <c r="D563" t="s">
        <v>1033</v>
      </c>
      <c r="F563" s="611"/>
      <c r="G563" s="611"/>
      <c r="H563" s="611"/>
    </row>
    <row r="564" spans="2:8" ht="12.75">
      <c r="B564" s="176"/>
      <c r="D564" t="s">
        <v>1030</v>
      </c>
      <c r="F564" s="611"/>
      <c r="G564" s="611"/>
      <c r="H564" s="611"/>
    </row>
    <row r="565" spans="2:8" ht="12.75">
      <c r="B565" s="176"/>
      <c r="F565" s="611"/>
      <c r="G565" s="611"/>
      <c r="H565" s="611"/>
    </row>
    <row r="566" spans="2:8" ht="12.75">
      <c r="B566" s="176"/>
      <c r="F566" s="611"/>
      <c r="G566" s="611"/>
      <c r="H566" s="611"/>
    </row>
    <row r="567" spans="2:8" ht="13.5" customHeight="1">
      <c r="B567" s="176" t="s">
        <v>1137</v>
      </c>
      <c r="D567" t="s">
        <v>676</v>
      </c>
      <c r="F567" s="611">
        <v>90000</v>
      </c>
      <c r="G567" s="611"/>
      <c r="H567" s="611"/>
    </row>
    <row r="568" spans="2:8" ht="12.75">
      <c r="B568" s="176"/>
      <c r="E568" t="s">
        <v>674</v>
      </c>
      <c r="F568" s="611"/>
      <c r="G568" s="611"/>
      <c r="H568" s="611">
        <v>90000</v>
      </c>
    </row>
    <row r="569" spans="2:8" ht="12.75">
      <c r="B569" s="176"/>
      <c r="F569" s="611"/>
      <c r="G569" s="611"/>
      <c r="H569" s="611"/>
    </row>
    <row r="570" spans="2:8" ht="12.75">
      <c r="B570" s="176"/>
      <c r="D570" t="s">
        <v>795</v>
      </c>
      <c r="F570" s="611"/>
      <c r="G570" s="611"/>
      <c r="H570" s="611"/>
    </row>
    <row r="571" spans="2:8" ht="12.75">
      <c r="B571" s="176"/>
      <c r="D571" t="s">
        <v>1031</v>
      </c>
      <c r="F571" s="611"/>
      <c r="G571" s="611"/>
      <c r="H571" s="611"/>
    </row>
    <row r="572" spans="2:8" ht="12.75">
      <c r="B572" s="176"/>
      <c r="F572" s="611"/>
      <c r="G572" s="611"/>
      <c r="H572" s="611"/>
    </row>
    <row r="573" spans="2:8" ht="12.75">
      <c r="B573" s="176"/>
      <c r="F573" s="611"/>
      <c r="G573" s="611"/>
      <c r="H573" s="611"/>
    </row>
    <row r="574" spans="2:8" ht="12.75">
      <c r="B574" s="176" t="s">
        <v>1138</v>
      </c>
      <c r="D574" t="s">
        <v>688</v>
      </c>
      <c r="F574" s="611">
        <v>116000</v>
      </c>
      <c r="G574" s="611"/>
      <c r="H574" s="611"/>
    </row>
    <row r="575" spans="2:8" ht="12.75">
      <c r="B575" s="176"/>
      <c r="E575" t="s">
        <v>674</v>
      </c>
      <c r="F575" s="611"/>
      <c r="G575" s="611"/>
      <c r="H575" s="611">
        <v>116000</v>
      </c>
    </row>
    <row r="576" spans="2:8" ht="12.75">
      <c r="B576" s="176"/>
      <c r="F576" s="611"/>
      <c r="G576" s="611"/>
      <c r="H576" s="611"/>
    </row>
    <row r="577" spans="2:8" ht="12.75">
      <c r="B577" s="176"/>
      <c r="D577" t="s">
        <v>997</v>
      </c>
      <c r="F577" s="611"/>
      <c r="G577" s="611"/>
      <c r="H577" s="611"/>
    </row>
    <row r="578" spans="2:8" ht="12.75">
      <c r="B578" s="176"/>
      <c r="D578" t="s">
        <v>1031</v>
      </c>
      <c r="F578" s="611"/>
      <c r="G578" s="611"/>
      <c r="H578" s="611"/>
    </row>
    <row r="579" spans="2:8" ht="12.75">
      <c r="B579" s="176"/>
      <c r="F579" s="611"/>
      <c r="G579" s="611"/>
      <c r="H579" s="611"/>
    </row>
    <row r="580" spans="2:8" ht="12.75">
      <c r="B580" s="176"/>
      <c r="F580" s="611"/>
      <c r="G580" s="611"/>
      <c r="H580" s="611"/>
    </row>
    <row r="581" spans="2:8" ht="12.75">
      <c r="B581" s="176" t="s">
        <v>1139</v>
      </c>
      <c r="D581" t="s">
        <v>688</v>
      </c>
      <c r="F581" s="611">
        <v>232098</v>
      </c>
      <c r="G581" s="611"/>
      <c r="H581" s="611"/>
    </row>
    <row r="582" spans="2:8" ht="12.75">
      <c r="B582" s="176"/>
      <c r="E582" t="s">
        <v>674</v>
      </c>
      <c r="F582" s="611"/>
      <c r="G582" s="611"/>
      <c r="H582" s="611">
        <v>232098</v>
      </c>
    </row>
    <row r="583" spans="2:8" ht="12.75">
      <c r="B583" s="176"/>
      <c r="F583" s="611"/>
      <c r="G583" s="611"/>
      <c r="H583" s="611"/>
    </row>
    <row r="584" spans="2:8" ht="12.75">
      <c r="B584" s="176"/>
      <c r="D584" t="s">
        <v>990</v>
      </c>
      <c r="F584" s="611"/>
      <c r="G584" s="611"/>
      <c r="H584" s="611"/>
    </row>
    <row r="585" spans="2:8" ht="12.75">
      <c r="B585" s="176"/>
      <c r="D585" t="s">
        <v>1032</v>
      </c>
      <c r="F585" s="611"/>
      <c r="G585" s="611"/>
      <c r="H585" s="611"/>
    </row>
    <row r="586" spans="2:8" ht="12.75">
      <c r="B586" s="176"/>
      <c r="F586" s="611"/>
      <c r="G586" s="611"/>
      <c r="H586" s="611"/>
    </row>
    <row r="587" spans="2:8" ht="12.75">
      <c r="B587" s="176"/>
      <c r="F587" s="611"/>
      <c r="G587" s="611"/>
      <c r="H587" s="611"/>
    </row>
    <row r="588" spans="2:8" ht="12.75">
      <c r="B588" s="176" t="s">
        <v>1140</v>
      </c>
      <c r="D588" t="s">
        <v>688</v>
      </c>
      <c r="F588" s="611">
        <v>4208</v>
      </c>
      <c r="G588" s="611"/>
      <c r="H588" s="611"/>
    </row>
    <row r="589" spans="2:8" ht="12.75">
      <c r="B589" s="176"/>
      <c r="E589" t="s">
        <v>674</v>
      </c>
      <c r="F589" s="611"/>
      <c r="G589" s="611"/>
      <c r="H589" s="611">
        <v>4208</v>
      </c>
    </row>
    <row r="590" spans="2:8" ht="12.75">
      <c r="B590" s="176"/>
      <c r="F590" s="611"/>
      <c r="G590" s="611"/>
      <c r="H590" s="611"/>
    </row>
    <row r="591" spans="2:8" ht="12.75">
      <c r="B591" s="176"/>
      <c r="D591" t="s">
        <v>996</v>
      </c>
      <c r="F591" s="611"/>
      <c r="G591" s="611"/>
      <c r="H591" s="611"/>
    </row>
    <row r="592" spans="2:8" ht="12.75">
      <c r="B592" s="176"/>
      <c r="D592" t="s">
        <v>1031</v>
      </c>
      <c r="F592" s="611"/>
      <c r="G592" s="611"/>
      <c r="H592" s="611"/>
    </row>
    <row r="593" spans="2:8" ht="12.75">
      <c r="B593" s="176"/>
      <c r="F593" s="611"/>
      <c r="G593" s="611"/>
      <c r="H593" s="611"/>
    </row>
    <row r="594" spans="2:8" ht="12.75">
      <c r="B594" s="176"/>
      <c r="F594" s="611"/>
      <c r="G594" s="611"/>
      <c r="H594" s="611"/>
    </row>
    <row r="595" spans="2:8" ht="12.75">
      <c r="B595" s="176" t="s">
        <v>1141</v>
      </c>
      <c r="D595" t="s">
        <v>688</v>
      </c>
      <c r="F595" s="611">
        <v>10560367</v>
      </c>
      <c r="G595" s="611"/>
      <c r="H595" s="611"/>
    </row>
    <row r="596" spans="2:8" ht="12.75">
      <c r="B596" s="176"/>
      <c r="E596" t="s">
        <v>674</v>
      </c>
      <c r="F596" s="611"/>
      <c r="G596" s="611"/>
      <c r="H596" s="611">
        <v>10560367</v>
      </c>
    </row>
    <row r="597" spans="2:8" ht="12.75">
      <c r="B597" s="176"/>
      <c r="F597" s="611"/>
      <c r="G597" s="611"/>
      <c r="H597" s="611"/>
    </row>
    <row r="598" spans="2:8" ht="12.75">
      <c r="B598" s="176"/>
      <c r="D598" t="s">
        <v>1033</v>
      </c>
      <c r="F598" s="611"/>
      <c r="G598" s="611"/>
      <c r="H598" s="611"/>
    </row>
    <row r="599" spans="2:8" ht="12.75">
      <c r="B599" s="176"/>
      <c r="D599" t="s">
        <v>1034</v>
      </c>
      <c r="F599" s="611"/>
      <c r="G599" s="611"/>
      <c r="H599" s="611"/>
    </row>
    <row r="600" spans="2:8" ht="12.75">
      <c r="B600" s="176"/>
      <c r="F600" s="611"/>
      <c r="G600" s="611"/>
      <c r="H600" s="611"/>
    </row>
    <row r="601" spans="2:8" ht="12.75">
      <c r="B601" s="176"/>
      <c r="F601" s="611"/>
      <c r="G601" s="611"/>
      <c r="H601" s="611"/>
    </row>
    <row r="602" spans="2:8" ht="12.75">
      <c r="B602" s="176" t="s">
        <v>1142</v>
      </c>
      <c r="D602" t="s">
        <v>688</v>
      </c>
      <c r="F602" s="611">
        <v>173839</v>
      </c>
      <c r="G602" s="611"/>
      <c r="H602" s="611"/>
    </row>
    <row r="603" spans="2:8" ht="12.75">
      <c r="B603" s="176"/>
      <c r="E603" t="s">
        <v>674</v>
      </c>
      <c r="F603" s="611"/>
      <c r="G603" s="611"/>
      <c r="H603" s="611">
        <v>173839</v>
      </c>
    </row>
    <row r="604" spans="2:8" ht="12.75">
      <c r="B604" s="176"/>
      <c r="F604" s="611"/>
      <c r="G604" s="611"/>
      <c r="H604" s="611"/>
    </row>
    <row r="605" spans="2:8" ht="12.75">
      <c r="B605" s="176"/>
      <c r="D605" t="s">
        <v>994</v>
      </c>
      <c r="F605" s="611"/>
      <c r="G605" s="611"/>
      <c r="H605" s="611"/>
    </row>
    <row r="606" spans="2:8" ht="12.75">
      <c r="B606" s="176"/>
      <c r="D606" t="s">
        <v>1035</v>
      </c>
      <c r="F606" s="611"/>
      <c r="G606" s="611"/>
      <c r="H606" s="611"/>
    </row>
    <row r="607" spans="2:8" ht="12.75">
      <c r="B607" s="176"/>
      <c r="F607" s="611"/>
      <c r="G607" s="611"/>
      <c r="H607" s="611"/>
    </row>
    <row r="608" spans="2:8" ht="12.75">
      <c r="B608" s="176"/>
      <c r="F608" s="611"/>
      <c r="G608" s="611"/>
      <c r="H608" s="611"/>
    </row>
    <row r="609" spans="2:8" ht="12.75">
      <c r="B609" s="176" t="s">
        <v>1143</v>
      </c>
      <c r="D609" t="s">
        <v>298</v>
      </c>
      <c r="F609" s="611">
        <v>2027981</v>
      </c>
      <c r="G609" s="611"/>
      <c r="H609" s="611"/>
    </row>
    <row r="610" spans="2:8" ht="12.75">
      <c r="B610" s="176"/>
      <c r="E610" t="s">
        <v>1019</v>
      </c>
      <c r="F610" s="611"/>
      <c r="G610" s="611"/>
      <c r="H610" s="611">
        <v>2027981</v>
      </c>
    </row>
    <row r="611" spans="2:8" ht="12.75">
      <c r="B611" s="176"/>
      <c r="F611" s="611"/>
      <c r="G611" s="611"/>
      <c r="H611" s="611"/>
    </row>
    <row r="612" spans="2:8" ht="12.75">
      <c r="B612" s="176"/>
      <c r="D612" t="s">
        <v>1036</v>
      </c>
      <c r="F612" s="611"/>
      <c r="G612" s="611"/>
      <c r="H612" s="611"/>
    </row>
    <row r="613" spans="2:8" ht="12.75">
      <c r="B613" s="176"/>
      <c r="F613" s="611"/>
      <c r="G613" s="611"/>
      <c r="H613" s="611"/>
    </row>
    <row r="614" spans="2:8" ht="12.75">
      <c r="B614" s="176"/>
      <c r="F614" s="611"/>
      <c r="G614" s="611"/>
      <c r="H614" s="611"/>
    </row>
    <row r="615" spans="2:8" ht="12.75">
      <c r="B615" s="176" t="s">
        <v>1144</v>
      </c>
      <c r="D615" t="s">
        <v>1037</v>
      </c>
      <c r="F615" s="611">
        <v>2344765</v>
      </c>
      <c r="G615" s="611"/>
      <c r="H615" s="611"/>
    </row>
    <row r="616" spans="2:8" ht="12.75">
      <c r="B616" s="176"/>
      <c r="E616" t="s">
        <v>1038</v>
      </c>
      <c r="F616" s="611"/>
      <c r="G616" s="611"/>
      <c r="H616" s="611">
        <v>2344765</v>
      </c>
    </row>
    <row r="617" spans="2:8" ht="12.75">
      <c r="B617" s="176"/>
      <c r="F617" s="611"/>
      <c r="G617" s="611"/>
      <c r="H617" s="611"/>
    </row>
    <row r="618" spans="2:8" ht="12.75">
      <c r="B618" s="176"/>
      <c r="D618" t="s">
        <v>1039</v>
      </c>
      <c r="F618" s="611"/>
      <c r="G618" s="611"/>
      <c r="H618" s="611"/>
    </row>
    <row r="619" spans="2:8" ht="12.75">
      <c r="B619" s="176"/>
      <c r="F619" s="611"/>
      <c r="G619" s="611"/>
      <c r="H619" s="611"/>
    </row>
    <row r="620" spans="2:8" ht="12.75">
      <c r="B620" s="176"/>
      <c r="F620" s="611"/>
      <c r="G620" s="611"/>
      <c r="H620" s="611"/>
    </row>
    <row r="621" spans="2:8" ht="12.75">
      <c r="B621" s="176" t="s">
        <v>1145</v>
      </c>
      <c r="D621" t="s">
        <v>1040</v>
      </c>
      <c r="F621" s="611">
        <v>17904875</v>
      </c>
      <c r="G621" s="611"/>
      <c r="H621" s="611"/>
    </row>
    <row r="622" spans="2:8" ht="12.75">
      <c r="B622" s="176"/>
      <c r="D622" t="s">
        <v>1041</v>
      </c>
      <c r="F622" s="611">
        <v>7299851</v>
      </c>
      <c r="G622" s="611"/>
      <c r="H622" s="611"/>
    </row>
    <row r="623" spans="2:8" ht="12.75">
      <c r="B623" s="176"/>
      <c r="D623" t="s">
        <v>1146</v>
      </c>
      <c r="F623" s="611">
        <v>34394</v>
      </c>
      <c r="G623" s="611"/>
      <c r="H623" s="611"/>
    </row>
    <row r="624" spans="2:8" ht="12.75">
      <c r="B624" s="176"/>
      <c r="E624" t="s">
        <v>1042</v>
      </c>
      <c r="F624" s="611"/>
      <c r="G624" s="611"/>
      <c r="H624" s="611">
        <v>17904875</v>
      </c>
    </row>
    <row r="625" spans="2:8" ht="12.75">
      <c r="B625" s="176"/>
      <c r="E625" t="s">
        <v>1043</v>
      </c>
      <c r="F625" s="611"/>
      <c r="G625" s="611"/>
      <c r="H625" s="611">
        <v>7299851</v>
      </c>
    </row>
    <row r="626" spans="2:8" ht="12.75">
      <c r="B626" s="176"/>
      <c r="E626" t="s">
        <v>1043</v>
      </c>
      <c r="F626" s="611"/>
      <c r="G626" s="611"/>
      <c r="H626" s="611">
        <v>34394</v>
      </c>
    </row>
    <row r="627" spans="2:8" ht="12.75">
      <c r="B627" s="176"/>
      <c r="F627" s="611"/>
      <c r="G627" s="611"/>
      <c r="H627" s="611"/>
    </row>
    <row r="628" spans="2:9" ht="12.75">
      <c r="B628" s="176"/>
      <c r="D628" t="s">
        <v>1044</v>
      </c>
      <c r="F628" s="611"/>
      <c r="G628" s="611"/>
      <c r="H628" s="611"/>
      <c r="I628" s="647"/>
    </row>
    <row r="629" spans="2:8" ht="12.75">
      <c r="B629" s="176"/>
      <c r="F629" s="611"/>
      <c r="G629" s="611"/>
      <c r="H629" s="611"/>
    </row>
    <row r="630" spans="2:8" ht="12.75">
      <c r="B630" s="176"/>
      <c r="F630" s="611"/>
      <c r="G630" s="611"/>
      <c r="H630" s="611"/>
    </row>
    <row r="631" spans="2:8" ht="12.75">
      <c r="B631" s="176" t="s">
        <v>1147</v>
      </c>
      <c r="D631" t="s">
        <v>1045</v>
      </c>
      <c r="F631" s="611">
        <v>2723</v>
      </c>
      <c r="G631" s="611"/>
      <c r="H631" s="611"/>
    </row>
    <row r="632" spans="2:8" ht="12.75">
      <c r="B632" s="176"/>
      <c r="E632" t="s">
        <v>1046</v>
      </c>
      <c r="F632" s="611"/>
      <c r="G632" s="611"/>
      <c r="H632" s="611">
        <v>2723</v>
      </c>
    </row>
    <row r="633" spans="2:8" ht="12.75">
      <c r="B633" s="176"/>
      <c r="F633" s="611"/>
      <c r="G633" s="611"/>
      <c r="H633" s="611"/>
    </row>
    <row r="634" spans="2:8" ht="12.75">
      <c r="B634" s="176"/>
      <c r="D634" t="s">
        <v>1047</v>
      </c>
      <c r="F634" s="611"/>
      <c r="G634" s="611"/>
      <c r="H634" s="611"/>
    </row>
    <row r="635" spans="2:8" ht="12.75">
      <c r="B635" s="176"/>
      <c r="F635" s="611"/>
      <c r="G635" s="611"/>
      <c r="H635" s="611"/>
    </row>
    <row r="636" spans="2:8" ht="12.75">
      <c r="B636" s="176"/>
      <c r="F636" s="611"/>
      <c r="G636" s="611"/>
      <c r="H636" s="611"/>
    </row>
    <row r="637" spans="2:8" ht="12.75">
      <c r="B637" s="176" t="s">
        <v>1148</v>
      </c>
      <c r="D637" t="s">
        <v>1048</v>
      </c>
      <c r="F637" s="611">
        <v>0</v>
      </c>
      <c r="G637" s="611"/>
      <c r="H637" s="611"/>
    </row>
    <row r="638" spans="2:8" ht="12.75">
      <c r="B638" s="176"/>
      <c r="E638" t="s">
        <v>1049</v>
      </c>
      <c r="F638" s="611"/>
      <c r="G638" s="611"/>
      <c r="H638" s="611">
        <v>0</v>
      </c>
    </row>
    <row r="639" spans="2:8" ht="12.75">
      <c r="B639" s="176"/>
      <c r="F639" s="611"/>
      <c r="G639" s="611"/>
      <c r="H639" s="611"/>
    </row>
    <row r="640" spans="2:8" ht="12.75">
      <c r="B640" s="176"/>
      <c r="D640" t="s">
        <v>1050</v>
      </c>
      <c r="F640" s="611"/>
      <c r="G640" s="611"/>
      <c r="H640" s="611"/>
    </row>
    <row r="641" spans="2:8" ht="13.5" customHeight="1">
      <c r="B641" s="176"/>
      <c r="F641" s="611"/>
      <c r="G641" s="611"/>
      <c r="H641" s="611"/>
    </row>
    <row r="642" spans="2:8" ht="13.5" customHeight="1">
      <c r="B642" s="176"/>
      <c r="F642" s="611"/>
      <c r="G642" s="611"/>
      <c r="H642" s="611"/>
    </row>
    <row r="643" spans="2:8" ht="12.75">
      <c r="B643" s="176" t="s">
        <v>1149</v>
      </c>
      <c r="D643" t="s">
        <v>1091</v>
      </c>
      <c r="F643" s="180"/>
      <c r="G643" s="611"/>
      <c r="H643" s="611"/>
    </row>
    <row r="644" spans="2:8" ht="12.75">
      <c r="B644" s="176"/>
      <c r="D644" t="s">
        <v>1094</v>
      </c>
      <c r="E644" s="611"/>
      <c r="F644" s="611">
        <v>47499999</v>
      </c>
      <c r="G644" s="180"/>
      <c r="H644" s="180"/>
    </row>
    <row r="645" spans="2:8" ht="12.75">
      <c r="B645" s="176"/>
      <c r="D645" t="s">
        <v>1095</v>
      </c>
      <c r="E645" s="611"/>
      <c r="F645" s="611">
        <v>499999</v>
      </c>
      <c r="G645" s="180"/>
      <c r="H645" s="180"/>
    </row>
    <row r="646" spans="2:8" ht="12.75">
      <c r="B646" s="176"/>
      <c r="D646" t="s">
        <v>1096</v>
      </c>
      <c r="E646" s="611"/>
      <c r="F646" s="611">
        <v>1</v>
      </c>
      <c r="G646" s="180"/>
      <c r="H646" s="180"/>
    </row>
    <row r="647" spans="2:8" ht="12.75">
      <c r="B647" s="176"/>
      <c r="D647" t="s">
        <v>1097</v>
      </c>
      <c r="E647" s="611"/>
      <c r="F647" s="611">
        <v>2599999</v>
      </c>
      <c r="G647" s="180"/>
      <c r="H647" s="180"/>
    </row>
    <row r="648" spans="2:8" ht="12.75">
      <c r="B648" s="176"/>
      <c r="D648" t="s">
        <v>1098</v>
      </c>
      <c r="E648" s="611"/>
      <c r="F648" s="611">
        <v>1</v>
      </c>
      <c r="G648" s="180"/>
      <c r="H648" s="180"/>
    </row>
    <row r="649" spans="2:8" ht="12.75">
      <c r="B649" s="176"/>
      <c r="D649" t="s">
        <v>1099</v>
      </c>
      <c r="E649" s="611"/>
      <c r="F649" s="611">
        <v>1</v>
      </c>
      <c r="G649" s="180"/>
      <c r="H649" s="180"/>
    </row>
    <row r="650" spans="2:8" ht="12.75">
      <c r="B650" s="176"/>
      <c r="D650" t="s">
        <v>1100</v>
      </c>
      <c r="E650" s="611"/>
      <c r="F650" s="611">
        <v>231552</v>
      </c>
      <c r="G650" s="180"/>
      <c r="H650" s="180"/>
    </row>
    <row r="651" spans="2:8" ht="12.75">
      <c r="B651" s="176"/>
      <c r="D651" t="s">
        <v>1101</v>
      </c>
      <c r="E651" s="611"/>
      <c r="F651" s="611">
        <v>1</v>
      </c>
      <c r="G651" s="180"/>
      <c r="H651" s="180"/>
    </row>
    <row r="652" spans="2:8" ht="12.75">
      <c r="B652" s="176"/>
      <c r="D652" t="s">
        <v>1102</v>
      </c>
      <c r="E652" s="611"/>
      <c r="F652" s="611">
        <v>1</v>
      </c>
      <c r="G652" s="180"/>
      <c r="H652" s="180"/>
    </row>
    <row r="653" spans="2:8" ht="12.75">
      <c r="B653" s="176"/>
      <c r="D653" t="s">
        <v>1103</v>
      </c>
      <c r="E653" s="611"/>
      <c r="F653" s="611">
        <v>1</v>
      </c>
      <c r="G653" s="180"/>
      <c r="H653" s="180"/>
    </row>
    <row r="654" spans="2:8" ht="12.75">
      <c r="B654" s="176"/>
      <c r="D654" t="s">
        <v>1104</v>
      </c>
      <c r="E654" s="611"/>
      <c r="F654" s="611">
        <v>5999999</v>
      </c>
      <c r="G654" s="180"/>
      <c r="H654" s="180"/>
    </row>
    <row r="655" spans="2:8" ht="12.75">
      <c r="B655" s="176"/>
      <c r="D655" t="s">
        <v>1105</v>
      </c>
      <c r="E655" s="611"/>
      <c r="F655" s="611">
        <v>1</v>
      </c>
      <c r="G655" s="180"/>
      <c r="H655" s="180"/>
    </row>
    <row r="656" spans="2:8" ht="12.75">
      <c r="B656" s="176"/>
      <c r="D656" t="s">
        <v>1106</v>
      </c>
      <c r="E656" s="611"/>
      <c r="F656" s="611">
        <v>1</v>
      </c>
      <c r="G656" s="180"/>
      <c r="H656" s="180"/>
    </row>
    <row r="657" spans="2:8" ht="12.75">
      <c r="B657" s="176"/>
      <c r="D657" t="s">
        <v>1107</v>
      </c>
      <c r="E657" s="611"/>
      <c r="F657" s="611">
        <v>1</v>
      </c>
      <c r="G657" s="180"/>
      <c r="H657" s="180"/>
    </row>
    <row r="658" spans="2:8" ht="12.75">
      <c r="B658" s="176"/>
      <c r="D658" t="s">
        <v>1108</v>
      </c>
      <c r="E658" s="611"/>
      <c r="F658" s="611">
        <v>1</v>
      </c>
      <c r="G658" s="180"/>
      <c r="H658" s="180"/>
    </row>
    <row r="659" spans="2:8" ht="12.75">
      <c r="B659" s="176"/>
      <c r="D659" t="s">
        <v>1109</v>
      </c>
      <c r="E659" s="611"/>
      <c r="F659" s="611">
        <v>1</v>
      </c>
      <c r="G659" s="180"/>
      <c r="H659" s="180"/>
    </row>
    <row r="660" spans="2:8" ht="12.75">
      <c r="B660" s="176"/>
      <c r="D660" t="s">
        <v>1110</v>
      </c>
      <c r="E660" s="611"/>
      <c r="F660" s="611">
        <v>1999999</v>
      </c>
      <c r="G660" s="180"/>
      <c r="H660" s="180"/>
    </row>
    <row r="661" spans="2:8" ht="12.75">
      <c r="B661" s="176"/>
      <c r="D661" s="610" t="s">
        <v>1273</v>
      </c>
      <c r="E661" s="611"/>
      <c r="F661" s="611"/>
      <c r="G661" s="180"/>
      <c r="H661" s="180"/>
    </row>
    <row r="662" spans="2:9" ht="12.75">
      <c r="B662" s="176"/>
      <c r="D662" t="s">
        <v>1111</v>
      </c>
      <c r="E662" s="611"/>
      <c r="F662" s="611">
        <v>28634972</v>
      </c>
      <c r="G662" s="180"/>
      <c r="H662" s="180"/>
      <c r="I662" s="186">
        <f>SUM(F644:F662)</f>
        <v>87466530</v>
      </c>
    </row>
    <row r="663" spans="2:8" ht="12.75">
      <c r="B663" s="176"/>
      <c r="D663" t="s">
        <v>1150</v>
      </c>
      <c r="E663" s="611"/>
      <c r="F663" s="611"/>
      <c r="G663" s="180"/>
      <c r="H663" s="180"/>
    </row>
    <row r="664" spans="2:8" ht="12.75">
      <c r="B664" s="176"/>
      <c r="D664" t="s">
        <v>1056</v>
      </c>
      <c r="E664" s="611"/>
      <c r="F664" s="611">
        <v>35631839</v>
      </c>
      <c r="G664" s="180"/>
      <c r="H664" s="180"/>
    </row>
    <row r="665" spans="2:8" ht="12.75">
      <c r="B665" s="176"/>
      <c r="D665" t="s">
        <v>1057</v>
      </c>
      <c r="E665" s="611"/>
      <c r="F665" s="611">
        <v>515745</v>
      </c>
      <c r="G665" s="180"/>
      <c r="H665" s="180"/>
    </row>
    <row r="666" spans="2:8" ht="12.75">
      <c r="B666" s="176"/>
      <c r="D666" t="s">
        <v>1058</v>
      </c>
      <c r="E666" s="611"/>
      <c r="F666" s="611">
        <v>14515483</v>
      </c>
      <c r="G666" s="180"/>
      <c r="H666" s="180"/>
    </row>
    <row r="667" spans="2:8" ht="12.75">
      <c r="B667" s="176"/>
      <c r="D667" t="s">
        <v>1059</v>
      </c>
      <c r="E667" s="611"/>
      <c r="F667" s="611">
        <v>1325453</v>
      </c>
      <c r="G667" s="180"/>
      <c r="H667" s="180"/>
    </row>
    <row r="668" spans="2:9" ht="12.75">
      <c r="B668" s="176"/>
      <c r="D668" t="s">
        <v>1060</v>
      </c>
      <c r="E668" s="611"/>
      <c r="F668" s="611">
        <v>24042974</v>
      </c>
      <c r="G668" s="180"/>
      <c r="H668" s="180"/>
      <c r="I668" s="186"/>
    </row>
    <row r="669" spans="2:8" ht="12.75">
      <c r="B669" s="176"/>
      <c r="D669" t="s">
        <v>1061</v>
      </c>
      <c r="E669" s="611"/>
      <c r="F669" s="611">
        <v>6962</v>
      </c>
      <c r="G669" s="180"/>
      <c r="H669" s="180"/>
    </row>
    <row r="670" spans="2:8" ht="12.75">
      <c r="B670" s="176"/>
      <c r="D670" t="s">
        <v>1062</v>
      </c>
      <c r="E670" s="611"/>
      <c r="F670" s="611">
        <v>5000000</v>
      </c>
      <c r="G670" s="180"/>
      <c r="H670" s="180"/>
    </row>
    <row r="671" spans="2:8" ht="12.75">
      <c r="B671" s="176"/>
      <c r="D671" t="s">
        <v>1063</v>
      </c>
      <c r="E671" s="611"/>
      <c r="F671" s="611">
        <v>5000000</v>
      </c>
      <c r="G671" s="180"/>
      <c r="H671" s="180"/>
    </row>
    <row r="672" spans="2:8" ht="12.75">
      <c r="B672" s="176"/>
      <c r="D672" t="s">
        <v>1064</v>
      </c>
      <c r="E672" s="611"/>
      <c r="F672" s="611">
        <v>460578</v>
      </c>
      <c r="G672" s="180"/>
      <c r="H672" s="180"/>
    </row>
    <row r="673" spans="2:8" ht="12.75">
      <c r="B673" s="176"/>
      <c r="D673" t="s">
        <v>1069</v>
      </c>
      <c r="E673" s="611"/>
      <c r="F673" s="611">
        <v>17156787</v>
      </c>
      <c r="G673" s="180"/>
      <c r="H673" s="180"/>
    </row>
    <row r="674" spans="2:8" ht="12.75">
      <c r="B674" s="176"/>
      <c r="D674" t="s">
        <v>1076</v>
      </c>
      <c r="E674" s="611"/>
      <c r="F674" s="611">
        <v>1508011</v>
      </c>
      <c r="G674" s="180"/>
      <c r="H674" s="180"/>
    </row>
    <row r="675" spans="2:8" ht="12.75">
      <c r="B675" s="176"/>
      <c r="D675" t="s">
        <v>1077</v>
      </c>
      <c r="E675" s="611"/>
      <c r="F675" s="611">
        <v>7391</v>
      </c>
      <c r="G675" s="180"/>
      <c r="H675" s="180"/>
    </row>
    <row r="676" spans="2:8" ht="12.75">
      <c r="B676" s="176"/>
      <c r="D676" t="s">
        <v>1078</v>
      </c>
      <c r="E676" s="611"/>
      <c r="F676" s="611">
        <v>37217</v>
      </c>
      <c r="G676" s="180"/>
      <c r="H676" s="180"/>
    </row>
    <row r="677" spans="2:8" ht="12.75">
      <c r="B677" s="176"/>
      <c r="D677" t="s">
        <v>1079</v>
      </c>
      <c r="E677" s="611"/>
      <c r="F677" s="611">
        <v>1921357</v>
      </c>
      <c r="G677" s="180"/>
      <c r="H677" s="180"/>
    </row>
    <row r="678" spans="2:9" ht="12.75">
      <c r="B678" s="176"/>
      <c r="D678" t="s">
        <v>1055</v>
      </c>
      <c r="F678" s="180"/>
      <c r="G678" s="611"/>
      <c r="H678" s="611"/>
      <c r="I678" s="186"/>
    </row>
    <row r="679" spans="2:9" ht="12.75">
      <c r="B679" s="176"/>
      <c r="D679" t="s">
        <v>1151</v>
      </c>
      <c r="F679" s="611">
        <v>5020000</v>
      </c>
      <c r="G679" s="611"/>
      <c r="H679" s="180"/>
      <c r="I679" s="186"/>
    </row>
    <row r="680" spans="2:9" ht="12.75">
      <c r="B680" s="176"/>
      <c r="E680" t="s">
        <v>1019</v>
      </c>
      <c r="F680" s="611"/>
      <c r="G680" s="611"/>
      <c r="H680" s="611">
        <v>5020000</v>
      </c>
      <c r="I680" s="186"/>
    </row>
    <row r="681" spans="2:8" ht="12.75">
      <c r="B681" s="176"/>
      <c r="E681" t="s">
        <v>1092</v>
      </c>
      <c r="F681" s="180"/>
      <c r="G681" s="611"/>
      <c r="H681" s="611">
        <v>87466530</v>
      </c>
    </row>
    <row r="682" spans="2:9" ht="12.75">
      <c r="B682" s="176"/>
      <c r="E682" t="s">
        <v>1093</v>
      </c>
      <c r="F682" s="180"/>
      <c r="G682" s="611"/>
      <c r="H682" s="611">
        <v>107129797</v>
      </c>
      <c r="I682" s="186"/>
    </row>
    <row r="683" spans="2:8" ht="12.75">
      <c r="B683" s="176"/>
      <c r="F683" s="611"/>
      <c r="G683" s="611"/>
      <c r="H683" s="611"/>
    </row>
    <row r="684" spans="2:8" ht="12.75">
      <c r="B684" s="176"/>
      <c r="D684" t="s">
        <v>1080</v>
      </c>
      <c r="F684" s="611"/>
      <c r="G684" s="611"/>
      <c r="H684" s="611"/>
    </row>
    <row r="685" spans="2:8" ht="12.75">
      <c r="B685" s="176"/>
      <c r="F685" s="611"/>
      <c r="G685" s="611"/>
      <c r="H685" s="611"/>
    </row>
    <row r="686" spans="2:8" ht="12.75">
      <c r="B686" s="176"/>
      <c r="F686" s="611"/>
      <c r="G686" s="611"/>
      <c r="H686" s="611"/>
    </row>
    <row r="687" spans="2:8" ht="12.75">
      <c r="B687" s="176" t="s">
        <v>1072</v>
      </c>
      <c r="D687" s="610" t="s">
        <v>1274</v>
      </c>
      <c r="F687" s="609"/>
      <c r="G687" s="611"/>
      <c r="H687" s="609"/>
    </row>
    <row r="688" spans="2:8" ht="12.75">
      <c r="B688" s="176"/>
      <c r="D688" t="s">
        <v>1097</v>
      </c>
      <c r="F688" s="609">
        <v>34000000</v>
      </c>
      <c r="G688" s="611"/>
      <c r="H688" s="609"/>
    </row>
    <row r="689" spans="2:8" ht="12.75">
      <c r="B689" s="176"/>
      <c r="E689" t="s">
        <v>1275</v>
      </c>
      <c r="F689" s="609"/>
      <c r="G689" s="611"/>
      <c r="H689" s="609">
        <v>34000000</v>
      </c>
    </row>
    <row r="690" spans="2:8" ht="12.75">
      <c r="B690" s="176"/>
      <c r="F690" s="609"/>
      <c r="G690" s="611"/>
      <c r="H690" s="609"/>
    </row>
    <row r="691" spans="2:8" ht="12.75">
      <c r="B691" s="176"/>
      <c r="D691" s="610" t="s">
        <v>1276</v>
      </c>
      <c r="F691" s="609"/>
      <c r="G691" s="611"/>
      <c r="H691" s="609"/>
    </row>
    <row r="692" spans="2:8" ht="12.75">
      <c r="B692" s="176"/>
      <c r="D692" t="s">
        <v>1277</v>
      </c>
      <c r="F692" s="609"/>
      <c r="G692" s="611"/>
      <c r="H692" s="609"/>
    </row>
    <row r="693" spans="2:8" ht="12.75">
      <c r="B693" s="176"/>
      <c r="F693" s="609"/>
      <c r="G693" s="611"/>
      <c r="H693" s="609"/>
    </row>
    <row r="694" spans="2:8" ht="12.75">
      <c r="B694" s="176"/>
      <c r="F694" s="611"/>
      <c r="G694" s="611"/>
      <c r="H694" s="611"/>
    </row>
    <row r="695" spans="2:8" ht="12.75">
      <c r="B695" s="176" t="s">
        <v>1152</v>
      </c>
      <c r="D695" t="s">
        <v>1091</v>
      </c>
      <c r="F695" s="609"/>
      <c r="G695" s="611"/>
      <c r="H695" s="609"/>
    </row>
    <row r="696" spans="4:8" ht="12.75">
      <c r="D696" t="s">
        <v>1112</v>
      </c>
      <c r="F696" s="609">
        <v>94000</v>
      </c>
      <c r="G696" s="611"/>
      <c r="H696" s="609"/>
    </row>
    <row r="697" spans="2:8" ht="12.75">
      <c r="B697" s="176"/>
      <c r="D697" s="610" t="s">
        <v>1278</v>
      </c>
      <c r="F697" s="609">
        <v>4350000</v>
      </c>
      <c r="G697" s="611"/>
      <c r="H697" s="609"/>
    </row>
    <row r="698" spans="5:8" ht="12.75">
      <c r="E698" t="s">
        <v>1275</v>
      </c>
      <c r="F698" s="609"/>
      <c r="G698" s="611"/>
      <c r="H698" s="609">
        <f>SUM(F696:F697)</f>
        <v>4444000</v>
      </c>
    </row>
    <row r="699" spans="2:8" ht="12.75">
      <c r="B699" s="176"/>
      <c r="F699" s="609"/>
      <c r="G699" s="611"/>
      <c r="H699" s="609"/>
    </row>
    <row r="700" spans="2:8" ht="12.75">
      <c r="B700" s="176"/>
      <c r="D700" s="610" t="s">
        <v>1279</v>
      </c>
      <c r="F700" s="609"/>
      <c r="G700" s="611"/>
      <c r="H700" s="609"/>
    </row>
    <row r="701" spans="2:8" ht="12.75">
      <c r="B701" s="176"/>
      <c r="D701" s="610" t="s">
        <v>1280</v>
      </c>
      <c r="F701" s="609"/>
      <c r="G701" s="611"/>
      <c r="H701" s="609"/>
    </row>
    <row r="702" spans="2:8" ht="12.75">
      <c r="B702" s="176"/>
      <c r="F702" s="611"/>
      <c r="G702" s="611"/>
      <c r="H702" s="611"/>
    </row>
    <row r="703" spans="2:8" ht="12.75">
      <c r="B703" s="176"/>
      <c r="F703" s="611"/>
      <c r="G703" s="611"/>
      <c r="H703" s="611"/>
    </row>
    <row r="704" spans="6:8" ht="12.75">
      <c r="F704" s="180"/>
      <c r="G704" s="180"/>
      <c r="H704" s="180"/>
    </row>
    <row r="705" spans="2:8" ht="12.75">
      <c r="B705" s="176" t="s">
        <v>1128</v>
      </c>
      <c r="D705" t="s">
        <v>1091</v>
      </c>
      <c r="F705" s="609"/>
      <c r="G705" s="611"/>
      <c r="H705" s="609"/>
    </row>
    <row r="706" spans="2:8" ht="12.75">
      <c r="B706" s="176"/>
      <c r="D706" s="610" t="s">
        <v>1281</v>
      </c>
      <c r="F706" s="609">
        <v>2000000</v>
      </c>
      <c r="G706" s="611"/>
      <c r="H706" s="609"/>
    </row>
    <row r="707" spans="2:8" ht="12.75">
      <c r="B707" s="176"/>
      <c r="D707" t="s">
        <v>1282</v>
      </c>
      <c r="F707" s="609"/>
      <c r="G707" s="611"/>
      <c r="H707" s="609"/>
    </row>
    <row r="708" spans="2:8" ht="12.75">
      <c r="B708" s="176"/>
      <c r="D708" s="610" t="s">
        <v>1281</v>
      </c>
      <c r="F708" s="609">
        <v>4219383</v>
      </c>
      <c r="G708" s="611"/>
      <c r="H708" s="609"/>
    </row>
    <row r="709" spans="2:8" ht="12.75">
      <c r="B709" s="176"/>
      <c r="E709" t="s">
        <v>1275</v>
      </c>
      <c r="F709" s="609"/>
      <c r="G709" s="611"/>
      <c r="H709" s="609">
        <f>SUM(F706:F708)</f>
        <v>6219383</v>
      </c>
    </row>
    <row r="710" spans="2:8" ht="12.75">
      <c r="B710" s="176"/>
      <c r="F710" s="609"/>
      <c r="G710" s="611"/>
      <c r="H710" s="609"/>
    </row>
    <row r="711" spans="2:8" ht="12.75">
      <c r="B711" s="176"/>
      <c r="D711" s="610" t="s">
        <v>1279</v>
      </c>
      <c r="F711" s="609"/>
      <c r="G711" s="611"/>
      <c r="H711" s="609"/>
    </row>
    <row r="712" spans="2:8" ht="12.75">
      <c r="B712" s="176"/>
      <c r="D712" s="610" t="s">
        <v>1283</v>
      </c>
      <c r="F712" s="609"/>
      <c r="G712" s="611"/>
      <c r="H712" s="609"/>
    </row>
    <row r="713" spans="2:8" ht="13.5" customHeight="1">
      <c r="B713" s="176"/>
      <c r="F713" s="611"/>
      <c r="G713" s="611"/>
      <c r="H713" s="611"/>
    </row>
    <row r="714" spans="2:8" ht="13.5" customHeight="1">
      <c r="B714" s="176"/>
      <c r="F714" s="611"/>
      <c r="G714" s="611"/>
      <c r="H714" s="611"/>
    </row>
    <row r="715" spans="2:8" ht="13.5" customHeight="1">
      <c r="B715" s="176" t="s">
        <v>1202</v>
      </c>
      <c r="D715" t="s">
        <v>809</v>
      </c>
      <c r="F715" s="611">
        <v>117996</v>
      </c>
      <c r="G715" s="611"/>
      <c r="H715" s="611"/>
    </row>
    <row r="716" spans="2:8" ht="13.5" customHeight="1">
      <c r="B716" s="176"/>
      <c r="E716" t="s">
        <v>34</v>
      </c>
      <c r="F716" s="611"/>
      <c r="G716" s="611"/>
      <c r="H716" s="611">
        <v>117996</v>
      </c>
    </row>
    <row r="717" spans="2:8" ht="13.5" customHeight="1">
      <c r="B717" s="176"/>
      <c r="F717" s="611"/>
      <c r="G717" s="611"/>
      <c r="H717" s="611"/>
    </row>
    <row r="718" spans="2:8" ht="13.5" customHeight="1">
      <c r="B718" s="176"/>
      <c r="D718" t="s">
        <v>1216</v>
      </c>
      <c r="F718" s="611"/>
      <c r="G718" s="611"/>
      <c r="H718" s="611"/>
    </row>
    <row r="719" spans="2:8" ht="13.5" customHeight="1">
      <c r="B719" s="176"/>
      <c r="F719" s="611"/>
      <c r="G719" s="611"/>
      <c r="H719" s="611"/>
    </row>
    <row r="720" spans="2:8" ht="13.5" customHeight="1">
      <c r="B720" s="176"/>
      <c r="F720" s="611"/>
      <c r="G720" s="611"/>
      <c r="H720" s="611"/>
    </row>
    <row r="721" spans="2:8" ht="13.5" customHeight="1">
      <c r="B721" s="176" t="s">
        <v>555</v>
      </c>
      <c r="D721" t="s">
        <v>1091</v>
      </c>
      <c r="F721" s="609">
        <v>1294999</v>
      </c>
      <c r="G721" s="611"/>
      <c r="H721" s="609"/>
    </row>
    <row r="722" spans="2:8" ht="13.5" customHeight="1">
      <c r="B722" s="176"/>
      <c r="D722" t="s">
        <v>1284</v>
      </c>
      <c r="F722" s="609">
        <v>205000</v>
      </c>
      <c r="G722" s="611"/>
      <c r="H722" s="609"/>
    </row>
    <row r="723" spans="2:8" ht="13.5" customHeight="1">
      <c r="B723" s="176"/>
      <c r="E723" t="s">
        <v>1275</v>
      </c>
      <c r="F723" s="609"/>
      <c r="G723" s="611"/>
      <c r="H723" s="609">
        <v>1499999</v>
      </c>
    </row>
    <row r="724" spans="2:8" ht="13.5" customHeight="1">
      <c r="B724" s="176"/>
      <c r="F724" s="609"/>
      <c r="G724" s="611"/>
      <c r="H724" s="609"/>
    </row>
    <row r="725" spans="2:8" ht="13.5" customHeight="1">
      <c r="B725" s="176"/>
      <c r="D725" s="610" t="s">
        <v>1279</v>
      </c>
      <c r="F725" s="609"/>
      <c r="G725" s="611"/>
      <c r="H725" s="609"/>
    </row>
    <row r="726" spans="2:8" ht="13.5" customHeight="1">
      <c r="B726" s="176"/>
      <c r="D726" s="610" t="s">
        <v>1285</v>
      </c>
      <c r="F726" s="609"/>
      <c r="G726" s="611"/>
      <c r="H726" s="609"/>
    </row>
    <row r="727" spans="2:8" ht="13.5" customHeight="1">
      <c r="B727" s="176"/>
      <c r="F727" s="180"/>
      <c r="G727" s="611"/>
      <c r="H727" s="611"/>
    </row>
    <row r="728" spans="2:8" s="189" customFormat="1" ht="13.5" customHeight="1">
      <c r="B728" s="183">
        <v>1999</v>
      </c>
      <c r="C728" s="184"/>
      <c r="D728" s="184"/>
      <c r="E728" s="184"/>
      <c r="F728" s="644"/>
      <c r="G728" s="644"/>
      <c r="H728" s="644"/>
    </row>
    <row r="729" spans="2:8" s="189" customFormat="1" ht="13.5" customHeight="1">
      <c r="B729" s="722"/>
      <c r="F729" s="646"/>
      <c r="G729" s="646"/>
      <c r="H729" s="646"/>
    </row>
    <row r="730" spans="2:8" ht="13.5" customHeight="1">
      <c r="B730" s="176" t="s">
        <v>556</v>
      </c>
      <c r="D730" t="s">
        <v>809</v>
      </c>
      <c r="F730" s="611">
        <v>19000000</v>
      </c>
      <c r="G730" s="611"/>
      <c r="H730" s="611"/>
    </row>
    <row r="731" spans="2:8" ht="13.5" customHeight="1">
      <c r="B731" s="176"/>
      <c r="E731" t="s">
        <v>676</v>
      </c>
      <c r="F731" s="611"/>
      <c r="G731" s="611"/>
      <c r="H731" s="611">
        <v>19000000</v>
      </c>
    </row>
    <row r="732" spans="2:8" ht="13.5" customHeight="1">
      <c r="B732" s="176"/>
      <c r="F732" s="611"/>
      <c r="G732" s="611"/>
      <c r="H732" s="611"/>
    </row>
    <row r="733" spans="2:8" ht="13.5" customHeight="1">
      <c r="B733" s="176"/>
      <c r="D733" t="s">
        <v>724</v>
      </c>
      <c r="F733" s="611"/>
      <c r="G733" s="611"/>
      <c r="H733" s="611"/>
    </row>
    <row r="734" spans="2:8" ht="13.5" customHeight="1">
      <c r="B734" s="176"/>
      <c r="D734" t="s">
        <v>723</v>
      </c>
      <c r="F734" s="611"/>
      <c r="G734" s="611"/>
      <c r="H734" s="611"/>
    </row>
    <row r="735" spans="2:8" ht="13.5" customHeight="1">
      <c r="B735" s="176"/>
      <c r="F735" s="611"/>
      <c r="G735" s="611"/>
      <c r="H735" s="611"/>
    </row>
    <row r="736" spans="2:8" ht="13.5" customHeight="1">
      <c r="B736" s="176" t="s">
        <v>558</v>
      </c>
      <c r="D736" t="s">
        <v>809</v>
      </c>
      <c r="F736" s="611">
        <v>1319088</v>
      </c>
      <c r="G736" s="611"/>
      <c r="H736" s="611"/>
    </row>
    <row r="737" spans="2:8" ht="13.5" customHeight="1">
      <c r="B737" s="176"/>
      <c r="E737" t="s">
        <v>676</v>
      </c>
      <c r="F737" s="611"/>
      <c r="G737" s="611"/>
      <c r="H737" s="611">
        <v>1319088</v>
      </c>
    </row>
    <row r="738" spans="2:8" ht="13.5" customHeight="1">
      <c r="B738" s="176"/>
      <c r="F738" s="611"/>
      <c r="G738" s="611"/>
      <c r="H738" s="611"/>
    </row>
    <row r="739" spans="2:8" ht="13.5" customHeight="1">
      <c r="B739" s="176"/>
      <c r="D739" t="s">
        <v>725</v>
      </c>
      <c r="F739" s="611"/>
      <c r="G739" s="611"/>
      <c r="H739" s="611"/>
    </row>
    <row r="740" spans="2:8" ht="13.5" customHeight="1">
      <c r="B740" s="176"/>
      <c r="D740" t="s">
        <v>723</v>
      </c>
      <c r="F740" s="611"/>
      <c r="G740" s="611"/>
      <c r="H740" s="611"/>
    </row>
    <row r="741" spans="2:8" ht="13.5" customHeight="1">
      <c r="B741" s="176"/>
      <c r="F741" s="611"/>
      <c r="G741" s="611"/>
      <c r="H741" s="611"/>
    </row>
    <row r="742" spans="2:8" ht="13.5" customHeight="1">
      <c r="B742" s="176" t="s">
        <v>560</v>
      </c>
      <c r="D742" t="s">
        <v>676</v>
      </c>
      <c r="F742" s="611">
        <v>2443</v>
      </c>
      <c r="G742" s="611"/>
      <c r="H742" s="611"/>
    </row>
    <row r="743" spans="2:8" ht="13.5" customHeight="1">
      <c r="B743" s="176"/>
      <c r="E743" t="s">
        <v>809</v>
      </c>
      <c r="F743" s="611"/>
      <c r="G743" s="611"/>
      <c r="H743" s="611">
        <v>2443</v>
      </c>
    </row>
    <row r="744" spans="2:8" ht="13.5" customHeight="1">
      <c r="B744" s="176"/>
      <c r="F744" s="611"/>
      <c r="G744" s="611"/>
      <c r="H744" s="611"/>
    </row>
    <row r="745" spans="2:8" ht="13.5" customHeight="1">
      <c r="B745" s="176"/>
      <c r="D745" t="s">
        <v>559</v>
      </c>
      <c r="F745" s="611"/>
      <c r="G745" s="611"/>
      <c r="H745" s="611"/>
    </row>
    <row r="746" spans="2:8" ht="13.5" customHeight="1">
      <c r="B746" s="176"/>
      <c r="F746" s="611"/>
      <c r="G746" s="611"/>
      <c r="H746" s="611"/>
    </row>
    <row r="747" spans="2:8" ht="13.5" customHeight="1">
      <c r="B747" s="176"/>
      <c r="F747" s="611"/>
      <c r="G747" s="611"/>
      <c r="H747" s="611"/>
    </row>
    <row r="748" spans="2:8" ht="13.5" customHeight="1">
      <c r="B748" s="176" t="s">
        <v>343</v>
      </c>
      <c r="D748" t="s">
        <v>86</v>
      </c>
      <c r="F748" s="180"/>
      <c r="G748" s="611"/>
      <c r="H748" s="611"/>
    </row>
    <row r="749" spans="2:8" ht="13.5" customHeight="1">
      <c r="B749" s="176"/>
      <c r="D749" t="s">
        <v>726</v>
      </c>
      <c r="F749" s="611">
        <v>714362</v>
      </c>
      <c r="G749" s="611"/>
      <c r="H749" s="611"/>
    </row>
    <row r="750" spans="2:8" ht="13.5" customHeight="1">
      <c r="B750" s="176"/>
      <c r="D750" t="s">
        <v>727</v>
      </c>
      <c r="F750" s="611">
        <v>97421</v>
      </c>
      <c r="G750" s="611"/>
      <c r="H750" s="611"/>
    </row>
    <row r="751" spans="2:8" ht="13.5" customHeight="1">
      <c r="B751" s="176"/>
      <c r="D751" t="s">
        <v>82</v>
      </c>
      <c r="F751" s="611">
        <v>358488</v>
      </c>
      <c r="G751" s="611"/>
      <c r="H751" s="611"/>
    </row>
    <row r="752" spans="2:8" ht="13.5" customHeight="1">
      <c r="B752" s="176"/>
      <c r="E752" t="s">
        <v>81</v>
      </c>
      <c r="F752" s="611"/>
      <c r="G752" s="611"/>
      <c r="H752" s="611"/>
    </row>
    <row r="753" spans="2:8" ht="13.5" customHeight="1">
      <c r="B753" s="176"/>
      <c r="E753" t="s">
        <v>85</v>
      </c>
      <c r="F753" s="611"/>
      <c r="G753" s="611"/>
      <c r="H753" s="611">
        <v>714362</v>
      </c>
    </row>
    <row r="754" spans="2:8" ht="13.5" customHeight="1">
      <c r="B754" s="176"/>
      <c r="E754" t="s">
        <v>84</v>
      </c>
      <c r="F754" s="611"/>
      <c r="G754" s="611"/>
      <c r="H754" s="611">
        <v>97421</v>
      </c>
    </row>
    <row r="755" spans="2:9" ht="13.5" customHeight="1">
      <c r="B755" s="176"/>
      <c r="E755" t="s">
        <v>83</v>
      </c>
      <c r="F755" s="611"/>
      <c r="G755" s="611"/>
      <c r="H755" s="611">
        <v>358488</v>
      </c>
      <c r="I755" s="186"/>
    </row>
    <row r="756" spans="2:8" ht="13.5" customHeight="1">
      <c r="B756" s="176"/>
      <c r="F756" s="611"/>
      <c r="G756" s="611"/>
      <c r="H756" s="611"/>
    </row>
    <row r="757" spans="2:9" ht="13.5" customHeight="1">
      <c r="B757" s="176"/>
      <c r="F757" s="611"/>
      <c r="G757" s="611"/>
      <c r="H757" s="611"/>
      <c r="I757" s="186"/>
    </row>
    <row r="758" spans="2:8" ht="13.5" customHeight="1">
      <c r="B758" s="176"/>
      <c r="D758" t="s">
        <v>87</v>
      </c>
      <c r="F758" s="611"/>
      <c r="G758" s="611"/>
      <c r="H758" s="611"/>
    </row>
    <row r="759" spans="2:8" ht="13.5" customHeight="1">
      <c r="B759" s="176"/>
      <c r="D759" t="s">
        <v>88</v>
      </c>
      <c r="F759" s="611"/>
      <c r="G759" s="611"/>
      <c r="H759" s="611"/>
    </row>
    <row r="760" spans="2:8" ht="13.5" customHeight="1">
      <c r="B760" s="176"/>
      <c r="F760" s="611"/>
      <c r="G760" s="611"/>
      <c r="H760" s="611"/>
    </row>
    <row r="761" spans="2:8" ht="13.5" customHeight="1">
      <c r="B761" s="176"/>
      <c r="F761" s="611"/>
      <c r="G761" s="611"/>
      <c r="H761" s="611"/>
    </row>
    <row r="762" spans="2:8" ht="13.5" customHeight="1">
      <c r="B762" s="294" t="s">
        <v>344</v>
      </c>
      <c r="D762" t="s">
        <v>53</v>
      </c>
      <c r="F762" s="611">
        <v>9816375</v>
      </c>
      <c r="G762" s="611"/>
      <c r="H762" s="611"/>
    </row>
    <row r="763" spans="2:8" ht="13.5" customHeight="1">
      <c r="B763" s="176"/>
      <c r="E763" t="s">
        <v>671</v>
      </c>
      <c r="F763" s="611"/>
      <c r="G763" s="611"/>
      <c r="H763" s="611">
        <v>9816375</v>
      </c>
    </row>
    <row r="764" spans="2:8" ht="13.5" customHeight="1">
      <c r="B764" s="176"/>
      <c r="F764" s="611"/>
      <c r="G764" s="611"/>
      <c r="H764" s="611"/>
    </row>
    <row r="765" spans="2:8" ht="13.5" customHeight="1">
      <c r="B765" s="176"/>
      <c r="D765" t="s">
        <v>643</v>
      </c>
      <c r="F765" s="611"/>
      <c r="G765" s="611"/>
      <c r="H765" s="611"/>
    </row>
    <row r="766" spans="2:8" ht="13.5" customHeight="1">
      <c r="B766" s="176"/>
      <c r="D766" t="s">
        <v>644</v>
      </c>
      <c r="F766" s="611"/>
      <c r="G766" s="611"/>
      <c r="H766" s="611"/>
    </row>
    <row r="767" spans="2:8" ht="13.5" customHeight="1">
      <c r="B767" s="176"/>
      <c r="F767" s="611"/>
      <c r="G767" s="611"/>
      <c r="H767" s="611"/>
    </row>
    <row r="768" spans="2:8" ht="13.5" customHeight="1">
      <c r="B768" s="296"/>
      <c r="F768" s="611"/>
      <c r="G768" s="611"/>
      <c r="H768" s="611"/>
    </row>
    <row r="769" spans="2:8" ht="13.5" customHeight="1">
      <c r="B769" s="176"/>
      <c r="F769" s="611"/>
      <c r="G769" s="611"/>
      <c r="H769" s="611"/>
    </row>
    <row r="770" spans="2:8" ht="13.5" customHeight="1">
      <c r="B770" s="294" t="s">
        <v>1180</v>
      </c>
      <c r="D770" t="s">
        <v>561</v>
      </c>
      <c r="F770" s="611">
        <v>200000</v>
      </c>
      <c r="G770" s="611"/>
      <c r="H770" s="611"/>
    </row>
    <row r="771" spans="2:8" s="612" customFormat="1" ht="13.5" customHeight="1">
      <c r="B771" s="613"/>
      <c r="E771" s="612" t="s">
        <v>1286</v>
      </c>
      <c r="F771" s="614"/>
      <c r="G771" s="614"/>
      <c r="H771" s="614">
        <v>200000</v>
      </c>
    </row>
    <row r="772" spans="2:8" ht="13.5" customHeight="1">
      <c r="B772" s="176"/>
      <c r="F772" s="611"/>
      <c r="G772" s="611"/>
      <c r="H772" s="611"/>
    </row>
    <row r="773" spans="2:8" ht="13.5" customHeight="1">
      <c r="B773" s="176"/>
      <c r="D773" t="s">
        <v>1287</v>
      </c>
      <c r="F773" s="611"/>
      <c r="G773" s="611"/>
      <c r="H773" s="611"/>
    </row>
    <row r="774" spans="2:8" ht="13.5" customHeight="1">
      <c r="B774" s="176"/>
      <c r="F774" s="611"/>
      <c r="G774" s="611"/>
      <c r="H774" s="611"/>
    </row>
    <row r="775" spans="2:8" ht="13.5" customHeight="1">
      <c r="B775" s="176"/>
      <c r="F775" s="611"/>
      <c r="G775" s="611"/>
      <c r="H775" s="611"/>
    </row>
    <row r="776" spans="2:8" s="189" customFormat="1" ht="12.75">
      <c r="B776" s="294" t="s">
        <v>1181</v>
      </c>
      <c r="D776" s="189" t="s">
        <v>688</v>
      </c>
      <c r="F776" s="646">
        <v>11192188</v>
      </c>
      <c r="G776" s="646"/>
      <c r="H776" s="646"/>
    </row>
    <row r="777" spans="2:8" s="189" customFormat="1" ht="12.75">
      <c r="B777" s="294"/>
      <c r="E777" s="189" t="s">
        <v>674</v>
      </c>
      <c r="F777" s="646"/>
      <c r="G777" s="646"/>
      <c r="H777" s="646">
        <v>11192188</v>
      </c>
    </row>
    <row r="778" spans="2:8" s="189" customFormat="1" ht="12.75">
      <c r="B778" s="294"/>
      <c r="F778" s="646"/>
      <c r="G778" s="646"/>
      <c r="H778" s="646"/>
    </row>
    <row r="779" spans="2:8" s="189" customFormat="1" ht="12.75">
      <c r="B779" s="294"/>
      <c r="D779" s="189" t="s">
        <v>1175</v>
      </c>
      <c r="F779" s="646"/>
      <c r="G779" s="646"/>
      <c r="H779" s="646"/>
    </row>
    <row r="780" spans="2:8" s="189" customFormat="1" ht="12.75">
      <c r="B780" s="294"/>
      <c r="D780" s="189" t="s">
        <v>1176</v>
      </c>
      <c r="F780" s="646"/>
      <c r="G780" s="646"/>
      <c r="H780" s="646"/>
    </row>
    <row r="781" spans="2:8" s="189" customFormat="1" ht="13.5" customHeight="1">
      <c r="B781" s="294"/>
      <c r="F781" s="646"/>
      <c r="G781" s="646"/>
      <c r="H781" s="646"/>
    </row>
    <row r="782" spans="2:8" s="189" customFormat="1" ht="13.5" customHeight="1">
      <c r="B782" s="294" t="s">
        <v>1182</v>
      </c>
      <c r="D782" s="189" t="s">
        <v>688</v>
      </c>
      <c r="F782" s="646">
        <v>1980002</v>
      </c>
      <c r="G782" s="646"/>
      <c r="H782" s="646"/>
    </row>
    <row r="783" spans="2:8" s="189" customFormat="1" ht="12.75">
      <c r="B783" s="294"/>
      <c r="E783" s="189" t="s">
        <v>674</v>
      </c>
      <c r="F783" s="646"/>
      <c r="G783" s="646"/>
      <c r="H783" s="646">
        <v>1980002</v>
      </c>
    </row>
    <row r="784" spans="2:8" s="189" customFormat="1" ht="12.75">
      <c r="B784" s="294"/>
      <c r="F784" s="646"/>
      <c r="G784" s="646"/>
      <c r="H784" s="646"/>
    </row>
    <row r="785" spans="2:8" s="189" customFormat="1" ht="12.75">
      <c r="B785" s="294"/>
      <c r="D785" s="189" t="s">
        <v>795</v>
      </c>
      <c r="F785" s="646"/>
      <c r="G785" s="646"/>
      <c r="H785" s="646"/>
    </row>
    <row r="786" spans="2:8" s="189" customFormat="1" ht="12.75">
      <c r="B786" s="294"/>
      <c r="D786" s="189" t="s">
        <v>1176</v>
      </c>
      <c r="F786" s="646"/>
      <c r="G786" s="646"/>
      <c r="H786" s="646"/>
    </row>
    <row r="787" spans="2:8" s="189" customFormat="1" ht="12.75">
      <c r="B787" s="294"/>
      <c r="F787" s="646"/>
      <c r="G787" s="646"/>
      <c r="H787" s="646"/>
    </row>
    <row r="788" spans="2:8" s="189" customFormat="1" ht="12.75">
      <c r="B788" s="294"/>
      <c r="F788" s="646"/>
      <c r="G788" s="646"/>
      <c r="H788" s="646"/>
    </row>
    <row r="789" spans="2:8" s="189" customFormat="1" ht="12.75">
      <c r="B789" s="294" t="s">
        <v>1183</v>
      </c>
      <c r="D789" s="189" t="s">
        <v>688</v>
      </c>
      <c r="F789" s="646">
        <v>2668000</v>
      </c>
      <c r="G789" s="646"/>
      <c r="H789" s="646"/>
    </row>
    <row r="790" spans="2:8" s="189" customFormat="1" ht="12.75">
      <c r="B790" s="294"/>
      <c r="E790" s="189" t="s">
        <v>674</v>
      </c>
      <c r="F790" s="646"/>
      <c r="G790" s="646"/>
      <c r="H790" s="646">
        <v>2668000</v>
      </c>
    </row>
    <row r="791" spans="2:8" s="189" customFormat="1" ht="12.75">
      <c r="B791" s="294"/>
      <c r="F791" s="646"/>
      <c r="G791" s="646"/>
      <c r="H791" s="646"/>
    </row>
    <row r="792" spans="2:8" s="189" customFormat="1" ht="12.75">
      <c r="B792" s="294"/>
      <c r="D792" s="189" t="s">
        <v>997</v>
      </c>
      <c r="F792" s="646"/>
      <c r="G792" s="646"/>
      <c r="H792" s="646"/>
    </row>
    <row r="793" spans="2:8" s="189" customFormat="1" ht="12.75">
      <c r="B793" s="294"/>
      <c r="D793" s="189" t="s">
        <v>1176</v>
      </c>
      <c r="F793" s="646"/>
      <c r="G793" s="646"/>
      <c r="H793" s="646"/>
    </row>
    <row r="794" spans="2:8" s="189" customFormat="1" ht="12.75">
      <c r="B794" s="294"/>
      <c r="F794" s="646"/>
      <c r="G794" s="646"/>
      <c r="H794" s="646"/>
    </row>
    <row r="795" spans="2:8" s="189" customFormat="1" ht="12.75">
      <c r="B795" s="294"/>
      <c r="F795" s="646"/>
      <c r="G795" s="646"/>
      <c r="H795" s="646"/>
    </row>
    <row r="796" spans="2:8" s="189" customFormat="1" ht="12.75">
      <c r="B796" s="294" t="s">
        <v>1184</v>
      </c>
      <c r="D796" s="189" t="s">
        <v>688</v>
      </c>
      <c r="F796" s="646">
        <v>5338243</v>
      </c>
      <c r="G796" s="646"/>
      <c r="H796" s="646"/>
    </row>
    <row r="797" spans="2:8" s="189" customFormat="1" ht="12.75">
      <c r="B797" s="294"/>
      <c r="E797" s="189" t="s">
        <v>674</v>
      </c>
      <c r="F797" s="646"/>
      <c r="G797" s="646"/>
      <c r="H797" s="646">
        <v>5338243</v>
      </c>
    </row>
    <row r="798" spans="2:8" s="189" customFormat="1" ht="12.75">
      <c r="B798" s="294"/>
      <c r="F798" s="646"/>
      <c r="G798" s="646"/>
      <c r="H798" s="646"/>
    </row>
    <row r="799" spans="2:8" s="189" customFormat="1" ht="12.75">
      <c r="B799" s="294"/>
      <c r="D799" s="189" t="s">
        <v>990</v>
      </c>
      <c r="F799" s="646"/>
      <c r="G799" s="646"/>
      <c r="H799" s="646"/>
    </row>
    <row r="800" spans="2:8" s="189" customFormat="1" ht="12.75">
      <c r="B800" s="294"/>
      <c r="D800" s="189" t="s">
        <v>1176</v>
      </c>
      <c r="F800" s="646"/>
      <c r="G800" s="646"/>
      <c r="H800" s="646"/>
    </row>
    <row r="801" spans="2:8" s="189" customFormat="1" ht="12.75">
      <c r="B801" s="294"/>
      <c r="F801" s="646"/>
      <c r="G801" s="646"/>
      <c r="H801" s="646"/>
    </row>
    <row r="802" spans="2:8" s="189" customFormat="1" ht="12.75">
      <c r="B802" s="294"/>
      <c r="F802" s="646"/>
      <c r="G802" s="646"/>
      <c r="H802" s="646"/>
    </row>
    <row r="803" spans="2:8" s="189" customFormat="1" ht="12.75">
      <c r="B803" s="294" t="s">
        <v>1185</v>
      </c>
      <c r="D803" s="189" t="s">
        <v>688</v>
      </c>
      <c r="F803" s="646">
        <v>96791</v>
      </c>
      <c r="G803" s="646"/>
      <c r="H803" s="646"/>
    </row>
    <row r="804" spans="2:8" s="189" customFormat="1" ht="12.75">
      <c r="B804" s="294"/>
      <c r="E804" s="189" t="s">
        <v>674</v>
      </c>
      <c r="F804" s="646"/>
      <c r="G804" s="646"/>
      <c r="H804" s="646">
        <v>96791</v>
      </c>
    </row>
    <row r="805" spans="2:8" s="189" customFormat="1" ht="12.75">
      <c r="B805" s="294"/>
      <c r="F805" s="646"/>
      <c r="G805" s="646"/>
      <c r="H805" s="646"/>
    </row>
    <row r="806" spans="2:8" s="189" customFormat="1" ht="12.75">
      <c r="B806" s="294"/>
      <c r="D806" s="189" t="s">
        <v>996</v>
      </c>
      <c r="F806" s="646"/>
      <c r="G806" s="646"/>
      <c r="H806" s="646"/>
    </row>
    <row r="807" spans="2:8" s="189" customFormat="1" ht="12.75">
      <c r="B807" s="294"/>
      <c r="D807" s="189" t="s">
        <v>1176</v>
      </c>
      <c r="F807" s="646"/>
      <c r="G807" s="646"/>
      <c r="H807" s="646"/>
    </row>
    <row r="808" spans="2:8" s="189" customFormat="1" ht="12.75">
      <c r="B808" s="294"/>
      <c r="F808" s="646"/>
      <c r="G808" s="646"/>
      <c r="H808" s="646"/>
    </row>
    <row r="809" spans="2:8" s="189" customFormat="1" ht="12.75">
      <c r="B809" s="294"/>
      <c r="F809" s="646"/>
      <c r="G809" s="646"/>
      <c r="H809" s="646"/>
    </row>
    <row r="810" spans="2:8" s="189" customFormat="1" ht="12.75">
      <c r="B810" s="176" t="s">
        <v>1001</v>
      </c>
      <c r="D810" s="189" t="s">
        <v>688</v>
      </c>
      <c r="F810" s="646">
        <v>3998287</v>
      </c>
      <c r="G810" s="646"/>
      <c r="H810" s="646"/>
    </row>
    <row r="811" spans="2:8" s="189" customFormat="1" ht="12.75">
      <c r="B811" s="294"/>
      <c r="E811" s="189" t="s">
        <v>674</v>
      </c>
      <c r="F811" s="646"/>
      <c r="G811" s="646"/>
      <c r="H811" s="646">
        <v>3998287</v>
      </c>
    </row>
    <row r="812" spans="2:8" s="189" customFormat="1" ht="12.75">
      <c r="B812" s="294"/>
      <c r="F812" s="646"/>
      <c r="G812" s="646"/>
      <c r="H812" s="646"/>
    </row>
    <row r="813" spans="2:8" s="189" customFormat="1" ht="12.75">
      <c r="B813" s="294"/>
      <c r="D813" s="189" t="s">
        <v>994</v>
      </c>
      <c r="F813" s="646"/>
      <c r="G813" s="646"/>
      <c r="H813" s="646"/>
    </row>
    <row r="814" spans="2:10" s="189" customFormat="1" ht="12.75">
      <c r="B814" s="294"/>
      <c r="D814" s="189" t="s">
        <v>1177</v>
      </c>
      <c r="F814" s="646"/>
      <c r="G814" s="646"/>
      <c r="H814" s="646"/>
      <c r="J814" s="189" t="s">
        <v>1073</v>
      </c>
    </row>
    <row r="815" spans="2:8" s="189" customFormat="1" ht="12.75">
      <c r="B815" s="294"/>
      <c r="F815" s="646"/>
      <c r="G815" s="646"/>
      <c r="H815" s="646"/>
    </row>
    <row r="816" spans="2:11" s="189" customFormat="1" ht="13.5" customHeight="1">
      <c r="B816" s="294"/>
      <c r="F816" s="646"/>
      <c r="G816" s="646"/>
      <c r="H816" s="646"/>
      <c r="I816" s="615" t="s">
        <v>1288</v>
      </c>
      <c r="J816" s="648">
        <f>-13746035+8987654+182000</f>
        <v>-4576381</v>
      </c>
      <c r="K816" s="189" t="s">
        <v>1074</v>
      </c>
    </row>
    <row r="817" spans="2:11" ht="12.75">
      <c r="B817" s="176" t="s">
        <v>1004</v>
      </c>
      <c r="D817" t="s">
        <v>1037</v>
      </c>
      <c r="F817" s="611">
        <v>617535</v>
      </c>
      <c r="G817" s="611"/>
      <c r="H817" s="611"/>
      <c r="I817" s="616" t="s">
        <v>1289</v>
      </c>
      <c r="J817" s="649">
        <v>1488707.32</v>
      </c>
      <c r="K817" t="s">
        <v>1075</v>
      </c>
    </row>
    <row r="818" spans="2:10" ht="12.75">
      <c r="B818" s="176"/>
      <c r="D818" s="610" t="s">
        <v>1290</v>
      </c>
      <c r="F818" s="611">
        <v>36400</v>
      </c>
      <c r="G818" s="611"/>
      <c r="H818" s="611"/>
      <c r="I818" s="616"/>
      <c r="J818" s="650">
        <f>SUM(J816:J817)</f>
        <v>-3087673.6799999997</v>
      </c>
    </row>
    <row r="819" spans="2:10" ht="12.75">
      <c r="B819" s="176"/>
      <c r="E819" t="s">
        <v>1038</v>
      </c>
      <c r="F819" s="611"/>
      <c r="G819" s="611"/>
      <c r="H819" s="611">
        <f>F818+F817</f>
        <v>653935</v>
      </c>
      <c r="I819" s="616"/>
      <c r="J819" s="617"/>
    </row>
    <row r="820" spans="2:10" ht="12.75">
      <c r="B820" s="176"/>
      <c r="F820" s="180"/>
      <c r="G820" s="180"/>
      <c r="H820" s="180"/>
      <c r="I820" s="616" t="s">
        <v>1291</v>
      </c>
      <c r="J820" s="617">
        <f>J818*0.2</f>
        <v>-617534.7359999999</v>
      </c>
    </row>
    <row r="821" spans="2:10" ht="12.75">
      <c r="B821" s="176"/>
      <c r="D821" t="s">
        <v>1002</v>
      </c>
      <c r="F821" s="611"/>
      <c r="G821" s="611"/>
      <c r="H821" s="611"/>
      <c r="I821" s="616" t="s">
        <v>1292</v>
      </c>
      <c r="J821" s="617">
        <f>-182000*0.2</f>
        <v>-36400</v>
      </c>
    </row>
    <row r="822" spans="2:10" ht="12.75">
      <c r="B822" s="176"/>
      <c r="F822" s="611"/>
      <c r="G822" s="611"/>
      <c r="H822" s="611"/>
      <c r="I822" s="616"/>
      <c r="J822" s="617"/>
    </row>
    <row r="823" spans="2:8" s="189" customFormat="1" ht="13.5" customHeight="1">
      <c r="B823" s="294"/>
      <c r="F823" s="646"/>
      <c r="G823" s="646"/>
      <c r="H823" s="646"/>
    </row>
    <row r="824" spans="2:8" s="189" customFormat="1" ht="13.5" customHeight="1">
      <c r="B824" s="176" t="s">
        <v>1005</v>
      </c>
      <c r="D824" t="s">
        <v>1293</v>
      </c>
      <c r="E824"/>
      <c r="F824" s="609"/>
      <c r="G824" s="180"/>
      <c r="H824" s="609">
        <v>1132028</v>
      </c>
    </row>
    <row r="825" spans="4:8" ht="12.75">
      <c r="D825" t="s">
        <v>1294</v>
      </c>
      <c r="F825" s="609">
        <v>2043686</v>
      </c>
      <c r="G825" s="180"/>
      <c r="H825" s="609"/>
    </row>
    <row r="826" spans="5:8" ht="12.75">
      <c r="E826" t="s">
        <v>1295</v>
      </c>
      <c r="F826" s="609">
        <v>70003</v>
      </c>
      <c r="G826" s="180"/>
      <c r="H826" s="609"/>
    </row>
    <row r="827" spans="2:8" ht="12.75">
      <c r="B827" s="176"/>
      <c r="E827" t="s">
        <v>1296</v>
      </c>
      <c r="F827" s="609"/>
      <c r="G827" s="180"/>
      <c r="H827" s="609">
        <v>1251379</v>
      </c>
    </row>
    <row r="828" spans="2:8" ht="12.75">
      <c r="B828" s="176"/>
      <c r="D828" t="s">
        <v>1297</v>
      </c>
      <c r="F828" s="609">
        <f>H827+H824-F825-F826</f>
        <v>269718</v>
      </c>
      <c r="G828" s="180"/>
      <c r="H828" s="609"/>
    </row>
    <row r="829" spans="2:9" ht="12.75">
      <c r="B829" s="176"/>
      <c r="F829" s="611"/>
      <c r="G829" s="611"/>
      <c r="H829" s="611"/>
      <c r="I829" s="186"/>
    </row>
    <row r="830" spans="2:8" ht="12.75">
      <c r="B830" s="176"/>
      <c r="D830" t="s">
        <v>771</v>
      </c>
      <c r="F830" s="611"/>
      <c r="G830" s="611"/>
      <c r="H830" s="611"/>
    </row>
    <row r="831" spans="2:8" ht="12.75">
      <c r="B831" s="176"/>
      <c r="F831" s="611"/>
      <c r="G831" s="611"/>
      <c r="H831" s="611"/>
    </row>
    <row r="832" spans="2:8" ht="12.75">
      <c r="B832" s="176"/>
      <c r="F832" s="611"/>
      <c r="G832" s="611"/>
      <c r="H832" s="611"/>
    </row>
    <row r="833" spans="2:8" ht="12.75">
      <c r="B833" s="176"/>
      <c r="D833" t="s">
        <v>451</v>
      </c>
      <c r="F833" s="611"/>
      <c r="G833" s="611"/>
      <c r="H833" s="611"/>
    </row>
    <row r="834" spans="2:8" ht="13.5" customHeight="1">
      <c r="B834" s="176"/>
      <c r="D834" t="s">
        <v>452</v>
      </c>
      <c r="F834" s="611"/>
      <c r="G834" s="611"/>
      <c r="H834" s="611"/>
    </row>
    <row r="835" spans="2:8" ht="13.5" customHeight="1">
      <c r="B835" s="176"/>
      <c r="F835" s="611"/>
      <c r="G835" s="611"/>
      <c r="H835" s="611"/>
    </row>
    <row r="836" spans="2:8" ht="13.5" customHeight="1">
      <c r="B836" s="176" t="s">
        <v>1397</v>
      </c>
      <c r="D836" t="s">
        <v>1091</v>
      </c>
      <c r="F836" s="609"/>
      <c r="G836" s="611"/>
      <c r="H836" s="609"/>
    </row>
    <row r="837" spans="4:8" ht="13.5" customHeight="1">
      <c r="D837" t="s">
        <v>1112</v>
      </c>
      <c r="F837" s="609">
        <v>405999</v>
      </c>
      <c r="G837" s="611"/>
      <c r="H837" s="609"/>
    </row>
    <row r="838" spans="4:8" ht="13.5" customHeight="1">
      <c r="D838" t="s">
        <v>1282</v>
      </c>
      <c r="F838" s="609"/>
      <c r="G838" s="611"/>
      <c r="H838" s="609"/>
    </row>
    <row r="839" spans="4:8" ht="13.5" customHeight="1">
      <c r="D839" s="610" t="s">
        <v>1113</v>
      </c>
      <c r="F839" s="609">
        <v>1673913</v>
      </c>
      <c r="G839" s="611"/>
      <c r="H839" s="609"/>
    </row>
    <row r="840" spans="2:8" ht="13.5" customHeight="1">
      <c r="B840" s="176"/>
      <c r="D840" s="610" t="s">
        <v>1278</v>
      </c>
      <c r="F840" s="609">
        <v>250208</v>
      </c>
      <c r="G840" s="611"/>
      <c r="H840" s="609"/>
    </row>
    <row r="841" spans="5:8" ht="13.5" customHeight="1">
      <c r="E841" s="610" t="s">
        <v>1298</v>
      </c>
      <c r="F841" s="609"/>
      <c r="G841" s="611"/>
      <c r="H841" s="609">
        <f>SUM(F837:F840)</f>
        <v>2330120</v>
      </c>
    </row>
    <row r="842" spans="2:8" ht="13.5" customHeight="1">
      <c r="B842" s="176"/>
      <c r="F842" s="609"/>
      <c r="G842" s="611"/>
      <c r="H842" s="609"/>
    </row>
    <row r="843" spans="2:8" ht="13.5" customHeight="1">
      <c r="B843" s="176"/>
      <c r="D843" s="610" t="s">
        <v>1279</v>
      </c>
      <c r="F843" s="609"/>
      <c r="G843" s="611"/>
      <c r="H843" s="609"/>
    </row>
    <row r="844" spans="2:8" ht="13.5" customHeight="1">
      <c r="B844" s="176"/>
      <c r="D844" s="610" t="s">
        <v>1299</v>
      </c>
      <c r="F844" s="609"/>
      <c r="G844" s="611"/>
      <c r="H844" s="609"/>
    </row>
    <row r="845" spans="2:8" ht="13.5" customHeight="1">
      <c r="B845" s="176"/>
      <c r="F845" s="611"/>
      <c r="G845" s="611"/>
      <c r="H845" s="611"/>
    </row>
    <row r="846" spans="2:8" ht="13.5" customHeight="1">
      <c r="B846" s="176"/>
      <c r="F846" s="611"/>
      <c r="G846" s="611"/>
      <c r="H846" s="611"/>
    </row>
    <row r="847" spans="2:8" ht="13.5" customHeight="1">
      <c r="B847" s="176" t="s">
        <v>351</v>
      </c>
      <c r="D847" t="s">
        <v>1091</v>
      </c>
      <c r="F847" s="611"/>
      <c r="G847" s="611"/>
      <c r="H847" s="611"/>
    </row>
    <row r="848" spans="2:8" ht="13.5" customHeight="1">
      <c r="B848" s="176"/>
      <c r="D848" s="567" t="s">
        <v>1300</v>
      </c>
      <c r="F848" s="611">
        <v>3225704</v>
      </c>
      <c r="G848" s="611"/>
      <c r="H848" s="611"/>
    </row>
    <row r="849" spans="2:8" ht="13.5" customHeight="1">
      <c r="B849" s="176"/>
      <c r="D849" s="567" t="s">
        <v>1301</v>
      </c>
      <c r="F849" s="611">
        <v>1417014</v>
      </c>
      <c r="G849" s="611"/>
      <c r="H849" s="611"/>
    </row>
    <row r="850" spans="2:8" ht="13.5" customHeight="1">
      <c r="B850" s="176"/>
      <c r="E850" t="s">
        <v>1282</v>
      </c>
      <c r="F850" s="611"/>
      <c r="G850" s="611"/>
      <c r="H850" s="611"/>
    </row>
    <row r="851" spans="2:8" ht="13.5" customHeight="1">
      <c r="B851" s="176"/>
      <c r="E851" s="567" t="s">
        <v>1300</v>
      </c>
      <c r="F851" s="611">
        <v>-1000008</v>
      </c>
      <c r="G851" s="611"/>
      <c r="H851" s="611"/>
    </row>
    <row r="852" spans="2:8" ht="13.5" customHeight="1">
      <c r="B852" s="176"/>
      <c r="E852" t="s">
        <v>1302</v>
      </c>
      <c r="F852" s="611"/>
      <c r="G852" s="611"/>
      <c r="H852" s="611">
        <v>3642710</v>
      </c>
    </row>
    <row r="853" spans="2:8" ht="13.5" customHeight="1">
      <c r="B853" s="176"/>
      <c r="E853" s="567"/>
      <c r="F853" s="611"/>
      <c r="G853" s="611"/>
      <c r="H853" s="611"/>
    </row>
    <row r="854" spans="2:8" ht="13.5" customHeight="1">
      <c r="B854" s="176"/>
      <c r="D854" t="s">
        <v>1303</v>
      </c>
      <c r="E854" s="567"/>
      <c r="F854" s="611"/>
      <c r="G854" s="611"/>
      <c r="H854" s="611"/>
    </row>
    <row r="855" spans="2:8" ht="13.5" customHeight="1">
      <c r="B855" s="176"/>
      <c r="D855" t="s">
        <v>1304</v>
      </c>
      <c r="E855" s="567"/>
      <c r="F855" s="611"/>
      <c r="G855" s="611"/>
      <c r="H855" s="611"/>
    </row>
    <row r="856" spans="2:8" ht="13.5" customHeight="1">
      <c r="B856" s="176"/>
      <c r="E856" s="567"/>
      <c r="F856" s="611"/>
      <c r="G856" s="611"/>
      <c r="H856" s="611"/>
    </row>
    <row r="857" spans="2:8" ht="13.5" customHeight="1">
      <c r="B857" s="176"/>
      <c r="E857" s="567"/>
      <c r="F857" s="611"/>
      <c r="G857" s="611"/>
      <c r="H857" s="611"/>
    </row>
    <row r="858" spans="2:8" ht="13.5" customHeight="1">
      <c r="B858" s="176" t="s">
        <v>686</v>
      </c>
      <c r="C858" s="335"/>
      <c r="D858" t="s">
        <v>1091</v>
      </c>
      <c r="E858" s="335"/>
      <c r="F858" s="609"/>
      <c r="G858" s="609"/>
      <c r="H858" s="609"/>
    </row>
    <row r="859" spans="2:8" ht="13.5" customHeight="1">
      <c r="B859" s="334"/>
      <c r="C859" s="335"/>
      <c r="D859" s="610" t="s">
        <v>1305</v>
      </c>
      <c r="E859" s="335"/>
      <c r="F859" s="609">
        <v>187499</v>
      </c>
      <c r="G859" s="609"/>
      <c r="H859" s="609"/>
    </row>
    <row r="860" spans="2:8" ht="13.5" customHeight="1">
      <c r="B860" s="334"/>
      <c r="C860" s="335"/>
      <c r="D860" t="s">
        <v>1282</v>
      </c>
      <c r="E860" s="335"/>
      <c r="F860" s="609"/>
      <c r="G860" s="609"/>
      <c r="H860" s="609"/>
    </row>
    <row r="861" spans="2:8" ht="13.5" customHeight="1">
      <c r="B861" s="334"/>
      <c r="C861" s="335"/>
      <c r="D861" s="610" t="s">
        <v>1305</v>
      </c>
      <c r="E861" s="335"/>
      <c r="F861" s="609">
        <v>13608560</v>
      </c>
      <c r="G861" s="609"/>
      <c r="H861" s="609"/>
    </row>
    <row r="862" spans="2:8" ht="13.5" customHeight="1">
      <c r="B862" s="334"/>
      <c r="C862" s="335"/>
      <c r="E862" s="610" t="s">
        <v>1298</v>
      </c>
      <c r="F862" s="609"/>
      <c r="G862" s="609"/>
      <c r="H862" s="609">
        <f>SUM(F859:F861)</f>
        <v>13796059</v>
      </c>
    </row>
    <row r="863" spans="2:8" ht="13.5" customHeight="1">
      <c r="B863" s="334"/>
      <c r="C863" s="335"/>
      <c r="E863" s="335"/>
      <c r="F863" s="609"/>
      <c r="G863" s="609"/>
      <c r="H863" s="609"/>
    </row>
    <row r="864" spans="2:8" ht="13.5" customHeight="1">
      <c r="B864" s="334"/>
      <c r="C864" s="335"/>
      <c r="D864" s="610" t="s">
        <v>1279</v>
      </c>
      <c r="E864" s="335"/>
      <c r="F864" s="609"/>
      <c r="G864" s="609"/>
      <c r="H864" s="609"/>
    </row>
    <row r="865" spans="2:8" ht="13.5" customHeight="1">
      <c r="B865" s="334"/>
      <c r="C865" s="335"/>
      <c r="D865" s="610" t="s">
        <v>1306</v>
      </c>
      <c r="E865" s="335"/>
      <c r="F865" s="609"/>
      <c r="G865" s="609"/>
      <c r="H865" s="609"/>
    </row>
    <row r="866" spans="2:8" ht="13.5" customHeight="1">
      <c r="B866" s="334"/>
      <c r="C866" s="335"/>
      <c r="D866" s="610"/>
      <c r="E866" s="335"/>
      <c r="F866" s="609"/>
      <c r="G866" s="609"/>
      <c r="H866" s="609"/>
    </row>
    <row r="867" spans="2:8" ht="13.5" customHeight="1">
      <c r="B867" s="176"/>
      <c r="E867" s="567"/>
      <c r="F867" s="611"/>
      <c r="G867" s="611"/>
      <c r="H867" s="611"/>
    </row>
    <row r="868" spans="2:8" ht="13.5" customHeight="1">
      <c r="B868" s="294" t="s">
        <v>687</v>
      </c>
      <c r="C868" s="335"/>
      <c r="D868" t="s">
        <v>1274</v>
      </c>
      <c r="F868" s="609"/>
      <c r="G868" s="609"/>
      <c r="H868" s="609"/>
    </row>
    <row r="869" spans="2:8" ht="13.5" customHeight="1">
      <c r="B869" s="294"/>
      <c r="C869" s="335"/>
      <c r="D869" t="s">
        <v>505</v>
      </c>
      <c r="F869" s="609">
        <v>1001572</v>
      </c>
      <c r="G869" s="609"/>
      <c r="H869" s="609"/>
    </row>
    <row r="870" spans="2:8" ht="13.5" customHeight="1">
      <c r="B870" s="334"/>
      <c r="C870" s="335"/>
      <c r="D870" s="610"/>
      <c r="E870" t="s">
        <v>506</v>
      </c>
      <c r="F870" s="609"/>
      <c r="G870" s="609"/>
      <c r="H870" s="609">
        <v>1001572</v>
      </c>
    </row>
    <row r="871" spans="2:8" ht="13.5" customHeight="1">
      <c r="B871" s="334"/>
      <c r="C871" s="335"/>
      <c r="E871" s="610"/>
      <c r="F871" s="609"/>
      <c r="G871" s="609"/>
      <c r="H871" s="609"/>
    </row>
    <row r="872" spans="2:8" ht="13.5" customHeight="1">
      <c r="B872" s="334"/>
      <c r="C872" s="335"/>
      <c r="D872" t="s">
        <v>1307</v>
      </c>
      <c r="F872" s="609"/>
      <c r="G872" s="609"/>
      <c r="H872" s="609"/>
    </row>
    <row r="873" spans="2:8" ht="13.5" customHeight="1">
      <c r="B873" s="335"/>
      <c r="C873" s="335"/>
      <c r="D873" s="296" t="s">
        <v>507</v>
      </c>
      <c r="F873" s="609"/>
      <c r="G873" s="681"/>
      <c r="H873" s="609"/>
    </row>
    <row r="874" spans="2:8" ht="13.5" customHeight="1">
      <c r="B874" s="176"/>
      <c r="E874" s="567"/>
      <c r="F874" s="611"/>
      <c r="G874" s="611"/>
      <c r="H874" s="611"/>
    </row>
    <row r="875" spans="2:8" ht="13.5" customHeight="1">
      <c r="B875" s="176"/>
      <c r="E875" s="567"/>
      <c r="F875" s="611"/>
      <c r="G875" s="611"/>
      <c r="H875" s="611"/>
    </row>
    <row r="876" spans="2:8" ht="13.5" customHeight="1">
      <c r="B876" s="176" t="s">
        <v>616</v>
      </c>
      <c r="D876" s="610" t="s">
        <v>1274</v>
      </c>
      <c r="F876" s="609"/>
      <c r="G876" s="611"/>
      <c r="H876" s="609"/>
    </row>
    <row r="877" spans="2:8" ht="13.5" customHeight="1">
      <c r="B877" s="176"/>
      <c r="D877" s="610" t="s">
        <v>1308</v>
      </c>
      <c r="F877" s="609">
        <v>1199046</v>
      </c>
      <c r="G877" s="611"/>
      <c r="H877" s="609"/>
    </row>
    <row r="878" spans="2:8" ht="13.5" customHeight="1">
      <c r="B878" s="176"/>
      <c r="E878" s="610" t="s">
        <v>1298</v>
      </c>
      <c r="F878" s="609"/>
      <c r="G878" s="611"/>
      <c r="H878" s="609">
        <v>1199046</v>
      </c>
    </row>
    <row r="879" spans="2:8" ht="13.5" customHeight="1">
      <c r="B879" s="176"/>
      <c r="F879" s="609"/>
      <c r="G879" s="611"/>
      <c r="H879" s="609"/>
    </row>
    <row r="880" spans="2:8" ht="13.5" customHeight="1">
      <c r="B880" s="176"/>
      <c r="D880" s="610" t="s">
        <v>1307</v>
      </c>
      <c r="F880" s="609"/>
      <c r="G880" s="611"/>
      <c r="H880" s="609"/>
    </row>
    <row r="881" spans="2:8" ht="12.75">
      <c r="B881" s="176"/>
      <c r="D881" s="610" t="s">
        <v>1309</v>
      </c>
      <c r="F881" s="609"/>
      <c r="G881" s="611"/>
      <c r="H881" s="609"/>
    </row>
    <row r="882" spans="2:8" ht="12.75">
      <c r="B882" s="176"/>
      <c r="D882" s="610"/>
      <c r="F882" s="609"/>
      <c r="G882" s="611"/>
      <c r="H882" s="609"/>
    </row>
    <row r="883" spans="2:8" ht="12.75">
      <c r="B883" s="176"/>
      <c r="D883" s="610"/>
      <c r="F883" s="609"/>
      <c r="G883" s="611"/>
      <c r="H883" s="609"/>
    </row>
    <row r="884" spans="2:8" ht="12.75">
      <c r="B884" s="618" t="s">
        <v>569</v>
      </c>
      <c r="C884" s="335"/>
      <c r="D884" t="s">
        <v>1091</v>
      </c>
      <c r="E884" s="335"/>
      <c r="F884" s="609"/>
      <c r="G884" s="609"/>
      <c r="H884" s="609"/>
    </row>
    <row r="885" spans="4:8" ht="12.75">
      <c r="D885" s="610" t="s">
        <v>1310</v>
      </c>
      <c r="E885" s="335"/>
      <c r="F885" s="609">
        <v>99999</v>
      </c>
      <c r="G885" s="609"/>
      <c r="H885" s="609"/>
    </row>
    <row r="886" spans="4:8" ht="12.75">
      <c r="D886" t="s">
        <v>1282</v>
      </c>
      <c r="E886" s="335"/>
      <c r="F886" s="609"/>
      <c r="G886" s="609"/>
      <c r="H886" s="609"/>
    </row>
    <row r="887" spans="4:8" ht="12.75">
      <c r="D887" s="610" t="s">
        <v>1310</v>
      </c>
      <c r="E887" s="335"/>
      <c r="F887" s="609">
        <v>145834</v>
      </c>
      <c r="G887" s="609"/>
      <c r="H887" s="609"/>
    </row>
    <row r="888" spans="4:8" ht="12.75">
      <c r="D888" s="610"/>
      <c r="E888" s="610" t="s">
        <v>1298</v>
      </c>
      <c r="F888" s="609"/>
      <c r="G888" s="609"/>
      <c r="H888" s="609">
        <f>SUM(F885:F887)</f>
        <v>245833</v>
      </c>
    </row>
    <row r="889" spans="5:8" ht="12.75">
      <c r="E889" s="335"/>
      <c r="F889" s="609"/>
      <c r="G889" s="609"/>
      <c r="H889" s="609"/>
    </row>
    <row r="890" spans="4:8" ht="12.75">
      <c r="D890" s="610" t="s">
        <v>1279</v>
      </c>
      <c r="E890" s="335"/>
      <c r="F890" s="609"/>
      <c r="G890" s="609"/>
      <c r="H890" s="609"/>
    </row>
    <row r="891" spans="2:8" ht="12.75">
      <c r="B891" s="176"/>
      <c r="D891" s="610" t="s">
        <v>1311</v>
      </c>
      <c r="E891" s="335"/>
      <c r="F891" s="609"/>
      <c r="G891" s="609"/>
      <c r="H891" s="609"/>
    </row>
    <row r="892" spans="2:8" ht="12.75">
      <c r="B892" s="176"/>
      <c r="D892" s="610"/>
      <c r="E892" s="335"/>
      <c r="F892" s="609"/>
      <c r="G892" s="609"/>
      <c r="H892" s="609"/>
    </row>
    <row r="893" spans="2:8" ht="12.75">
      <c r="B893" s="176"/>
      <c r="D893" s="610"/>
      <c r="E893" s="335"/>
      <c r="F893" s="609"/>
      <c r="G893" s="609"/>
      <c r="H893" s="609"/>
    </row>
    <row r="894" spans="2:8" ht="12.75">
      <c r="B894" s="176" t="s">
        <v>568</v>
      </c>
      <c r="D894" s="610" t="s">
        <v>1312</v>
      </c>
      <c r="E894" s="335"/>
      <c r="F894" s="609">
        <v>44133290</v>
      </c>
      <c r="G894" s="609"/>
      <c r="H894" s="609"/>
    </row>
    <row r="895" spans="2:8" ht="12.75">
      <c r="B895" s="176"/>
      <c r="D895" s="610"/>
      <c r="E895" s="619" t="s">
        <v>1313</v>
      </c>
      <c r="F895" s="609"/>
      <c r="G895" s="609"/>
      <c r="H895" s="609">
        <v>26228413</v>
      </c>
    </row>
    <row r="896" spans="2:8" ht="12.75">
      <c r="B896" s="176"/>
      <c r="D896" s="610"/>
      <c r="E896" s="335" t="s">
        <v>1314</v>
      </c>
      <c r="F896" s="609"/>
      <c r="G896" s="609"/>
      <c r="H896" s="609">
        <v>17904877</v>
      </c>
    </row>
    <row r="897" spans="2:8" ht="12.75">
      <c r="B897" s="176"/>
      <c r="D897" s="610" t="s">
        <v>1315</v>
      </c>
      <c r="E897" s="335"/>
      <c r="F897" s="609">
        <v>1564988</v>
      </c>
      <c r="G897" s="609"/>
      <c r="H897" s="609"/>
    </row>
    <row r="898" spans="2:8" ht="12.75">
      <c r="B898" s="176"/>
      <c r="D898" s="610"/>
      <c r="E898" s="619" t="s">
        <v>1316</v>
      </c>
      <c r="F898" s="609"/>
      <c r="G898" s="609"/>
      <c r="H898" s="609">
        <v>1564988</v>
      </c>
    </row>
    <row r="899" spans="2:8" ht="12.75">
      <c r="B899" s="176"/>
      <c r="D899" s="610"/>
      <c r="E899" s="335"/>
      <c r="F899" s="609"/>
      <c r="G899" s="609"/>
      <c r="H899" s="609"/>
    </row>
    <row r="900" spans="2:8" ht="12.75">
      <c r="B900" s="176"/>
      <c r="D900" s="610" t="s">
        <v>1317</v>
      </c>
      <c r="E900" s="335"/>
      <c r="F900" s="609"/>
      <c r="G900" s="609"/>
      <c r="H900" s="609"/>
    </row>
    <row r="901" spans="2:8" ht="12.75">
      <c r="B901" s="176"/>
      <c r="D901" s="610"/>
      <c r="E901" s="335"/>
      <c r="F901" s="609"/>
      <c r="G901" s="609"/>
      <c r="H901" s="609"/>
    </row>
    <row r="902" spans="2:8" ht="12.75">
      <c r="B902" s="176"/>
      <c r="D902" s="610"/>
      <c r="E902" s="335"/>
      <c r="F902" s="609"/>
      <c r="G902" s="609"/>
      <c r="H902" s="609"/>
    </row>
    <row r="903" spans="2:8" ht="12.75">
      <c r="B903" s="176" t="s">
        <v>585</v>
      </c>
      <c r="D903" s="610" t="s">
        <v>1318</v>
      </c>
      <c r="E903" s="335"/>
      <c r="F903" s="609">
        <v>237473</v>
      </c>
      <c r="G903" s="609"/>
      <c r="H903" s="609"/>
    </row>
    <row r="904" spans="2:8" ht="12.75">
      <c r="B904" s="176"/>
      <c r="D904" s="610"/>
      <c r="E904" s="619" t="s">
        <v>1316</v>
      </c>
      <c r="F904" s="609"/>
      <c r="G904" s="609"/>
      <c r="H904" s="609">
        <v>237473</v>
      </c>
    </row>
    <row r="905" spans="2:8" ht="12.75">
      <c r="B905" s="176"/>
      <c r="D905" s="610"/>
      <c r="E905" s="619"/>
      <c r="F905" s="609"/>
      <c r="G905" s="609"/>
      <c r="H905" s="609"/>
    </row>
    <row r="906" spans="2:8" ht="12.75">
      <c r="B906" s="176"/>
      <c r="D906" s="296" t="s">
        <v>1319</v>
      </c>
      <c r="E906" s="335"/>
      <c r="F906" s="609"/>
      <c r="G906" s="609"/>
      <c r="H906" s="609"/>
    </row>
    <row r="907" spans="2:8" ht="12.75">
      <c r="B907" s="176"/>
      <c r="D907" s="610"/>
      <c r="E907" s="335"/>
      <c r="F907" s="609"/>
      <c r="G907" s="609"/>
      <c r="H907" s="609"/>
    </row>
    <row r="908" spans="2:8" ht="12.75">
      <c r="B908" s="176"/>
      <c r="D908" s="610"/>
      <c r="E908" s="335"/>
      <c r="F908" s="609"/>
      <c r="G908" s="609"/>
      <c r="H908" s="609"/>
    </row>
    <row r="909" spans="2:8" ht="12.75">
      <c r="B909" s="176" t="s">
        <v>587</v>
      </c>
      <c r="D909" s="296" t="s">
        <v>1359</v>
      </c>
      <c r="E909" s="335"/>
      <c r="F909" s="609">
        <v>18095357</v>
      </c>
      <c r="G909" s="609"/>
      <c r="H909" s="609"/>
    </row>
    <row r="910" spans="2:8" ht="12.75">
      <c r="B910" s="176"/>
      <c r="D910" s="296" t="s">
        <v>1320</v>
      </c>
      <c r="E910" s="335"/>
      <c r="F910" s="609">
        <v>21513202</v>
      </c>
      <c r="G910" s="609"/>
      <c r="H910" s="609"/>
    </row>
    <row r="911" spans="2:8" ht="12.75">
      <c r="B911" s="176"/>
      <c r="D911" s="610"/>
      <c r="E911" s="335" t="s">
        <v>1155</v>
      </c>
      <c r="F911" s="609"/>
      <c r="G911" s="609"/>
      <c r="H911" s="609">
        <v>16549961</v>
      </c>
    </row>
    <row r="912" spans="2:8" ht="12.75">
      <c r="B912" s="176"/>
      <c r="D912" s="610"/>
      <c r="E912" s="335" t="s">
        <v>1321</v>
      </c>
      <c r="F912" s="609"/>
      <c r="G912" s="609"/>
      <c r="H912" s="609">
        <v>9354873</v>
      </c>
    </row>
    <row r="913" spans="2:8" ht="12.75">
      <c r="B913" s="176"/>
      <c r="D913" s="610"/>
      <c r="E913" s="335" t="s">
        <v>1322</v>
      </c>
      <c r="F913" s="609"/>
      <c r="G913" s="609"/>
      <c r="H913" s="609">
        <v>13703725</v>
      </c>
    </row>
    <row r="914" spans="2:8" ht="12.75">
      <c r="B914" s="176"/>
      <c r="D914" s="610"/>
      <c r="E914" s="335"/>
      <c r="F914" s="609"/>
      <c r="G914" s="609"/>
      <c r="H914" s="609"/>
    </row>
    <row r="915" spans="2:8" ht="12.75">
      <c r="B915" s="176"/>
      <c r="D915" s="610" t="s">
        <v>1323</v>
      </c>
      <c r="E915" s="335"/>
      <c r="F915" s="609"/>
      <c r="G915" s="609"/>
      <c r="H915" s="609"/>
    </row>
    <row r="916" spans="2:8" ht="12.75">
      <c r="B916" s="176"/>
      <c r="D916" s="610" t="s">
        <v>1324</v>
      </c>
      <c r="E916" s="335"/>
      <c r="F916" s="609"/>
      <c r="G916" s="609"/>
      <c r="H916" s="609"/>
    </row>
    <row r="917" spans="2:8" ht="12.75">
      <c r="B917" s="176"/>
      <c r="D917" s="610"/>
      <c r="E917" s="335"/>
      <c r="F917" s="609"/>
      <c r="G917" s="609"/>
      <c r="H917" s="609"/>
    </row>
    <row r="918" spans="2:8" ht="12.75">
      <c r="B918" s="618" t="s">
        <v>1068</v>
      </c>
      <c r="D918" s="296" t="s">
        <v>1325</v>
      </c>
      <c r="E918" s="335" t="s">
        <v>865</v>
      </c>
      <c r="F918" s="609">
        <v>12523000</v>
      </c>
      <c r="G918" s="609"/>
      <c r="H918" s="609"/>
    </row>
    <row r="919" spans="4:8" ht="12.75">
      <c r="D919" s="296" t="s">
        <v>1326</v>
      </c>
      <c r="E919" s="335"/>
      <c r="F919" s="609">
        <v>20642348</v>
      </c>
      <c r="G919" s="609"/>
      <c r="H919" s="609"/>
    </row>
    <row r="920" spans="4:8" ht="12.75">
      <c r="D920" s="610"/>
      <c r="E920" s="335" t="s">
        <v>1327</v>
      </c>
      <c r="F920" s="609"/>
      <c r="G920" s="609"/>
      <c r="H920" s="609">
        <v>20642348</v>
      </c>
    </row>
    <row r="921" spans="4:8" ht="12.75">
      <c r="D921" s="610"/>
      <c r="E921" s="335" t="s">
        <v>1328</v>
      </c>
      <c r="F921" s="609"/>
      <c r="G921" s="609"/>
      <c r="H921" s="609">
        <v>12523000</v>
      </c>
    </row>
    <row r="922" spans="4:8" ht="12.75">
      <c r="D922" s="296" t="s">
        <v>1329</v>
      </c>
      <c r="E922" s="335"/>
      <c r="F922" s="609"/>
      <c r="G922" s="609"/>
      <c r="H922" s="609"/>
    </row>
    <row r="923" spans="4:8" ht="12.75">
      <c r="D923" s="610"/>
      <c r="E923" s="335"/>
      <c r="F923" s="609"/>
      <c r="G923" s="609"/>
      <c r="H923" s="609"/>
    </row>
    <row r="924" spans="4:8" ht="12.75">
      <c r="D924" s="610"/>
      <c r="E924" s="335"/>
      <c r="F924" s="609"/>
      <c r="G924" s="609"/>
      <c r="H924" s="609"/>
    </row>
    <row r="925" spans="2:8" ht="12.75">
      <c r="B925" s="176" t="s">
        <v>571</v>
      </c>
      <c r="D925" s="296" t="s">
        <v>509</v>
      </c>
      <c r="E925" s="335"/>
      <c r="F925" s="609"/>
      <c r="G925" s="609"/>
      <c r="H925" s="609"/>
    </row>
    <row r="926" spans="4:8" ht="12.75">
      <c r="D926" s="296" t="s">
        <v>1094</v>
      </c>
      <c r="E926" s="335"/>
      <c r="F926" s="609">
        <v>6863601</v>
      </c>
      <c r="G926" s="609"/>
      <c r="H926" s="609"/>
    </row>
    <row r="927" spans="4:8" ht="12.75">
      <c r="D927" s="610"/>
      <c r="E927" s="335" t="s">
        <v>1302</v>
      </c>
      <c r="F927" s="609"/>
      <c r="G927" s="609"/>
      <c r="H927" s="609">
        <v>6863601</v>
      </c>
    </row>
    <row r="928" spans="4:8" ht="12.75">
      <c r="D928" s="610"/>
      <c r="E928" s="335"/>
      <c r="F928" s="609"/>
      <c r="G928" s="609"/>
      <c r="H928" s="609"/>
    </row>
    <row r="929" spans="4:8" ht="12.75">
      <c r="D929" s="296" t="s">
        <v>510</v>
      </c>
      <c r="E929" s="335"/>
      <c r="F929" s="609"/>
      <c r="G929" s="609"/>
      <c r="H929" s="609"/>
    </row>
    <row r="930" spans="4:8" ht="12.75">
      <c r="D930" s="296" t="s">
        <v>511</v>
      </c>
      <c r="E930" s="335"/>
      <c r="F930" s="609"/>
      <c r="G930" s="609"/>
      <c r="H930" s="609"/>
    </row>
    <row r="931" spans="4:8" ht="12.75">
      <c r="D931" s="610"/>
      <c r="E931" s="335"/>
      <c r="F931" s="609"/>
      <c r="G931" s="609"/>
      <c r="H931" s="609"/>
    </row>
    <row r="932" spans="2:8" ht="13.5" customHeight="1">
      <c r="B932" s="176"/>
      <c r="E932" s="567"/>
      <c r="F932" s="611"/>
      <c r="G932" s="611"/>
      <c r="H932" s="611"/>
    </row>
    <row r="933" spans="2:8" ht="13.5" customHeight="1">
      <c r="B933" s="294" t="s">
        <v>576</v>
      </c>
      <c r="D933" t="s">
        <v>1091</v>
      </c>
      <c r="E933" s="567"/>
      <c r="F933" s="611"/>
      <c r="G933" s="611"/>
      <c r="H933" s="611"/>
    </row>
    <row r="934" spans="2:8" ht="13.5" customHeight="1">
      <c r="B934" s="294"/>
      <c r="D934" s="567" t="s">
        <v>514</v>
      </c>
      <c r="E934" s="567"/>
      <c r="F934" s="611">
        <v>1</v>
      </c>
      <c r="G934" s="611"/>
      <c r="H934" s="611"/>
    </row>
    <row r="935" spans="2:8" ht="13.5" customHeight="1">
      <c r="B935" s="294"/>
      <c r="D935" s="567" t="s">
        <v>513</v>
      </c>
      <c r="E935" s="567"/>
      <c r="F935" s="611">
        <v>28140236</v>
      </c>
      <c r="G935" s="611"/>
      <c r="H935" s="611"/>
    </row>
    <row r="936" spans="2:8" ht="13.5" customHeight="1">
      <c r="B936" s="294"/>
      <c r="D936" s="567" t="s">
        <v>515</v>
      </c>
      <c r="E936" s="567"/>
      <c r="F936" s="611">
        <v>2968449</v>
      </c>
      <c r="G936" s="611"/>
      <c r="H936" s="611"/>
    </row>
    <row r="937" spans="2:8" ht="13.5" customHeight="1">
      <c r="B937" s="294"/>
      <c r="D937" t="s">
        <v>90</v>
      </c>
      <c r="E937" s="567"/>
      <c r="F937" s="611"/>
      <c r="G937" s="611"/>
      <c r="H937" s="611"/>
    </row>
    <row r="938" spans="2:8" ht="13.5" customHeight="1">
      <c r="B938" s="294"/>
      <c r="D938" s="620" t="s">
        <v>1330</v>
      </c>
      <c r="E938" s="567"/>
      <c r="F938" s="611">
        <v>-4884767.39</v>
      </c>
      <c r="G938" s="611"/>
      <c r="H938" s="611"/>
    </row>
    <row r="939" spans="1:9" ht="12.75">
      <c r="A939" s="185"/>
      <c r="B939" s="189"/>
      <c r="D939" s="620" t="s">
        <v>1331</v>
      </c>
      <c r="F939" s="611">
        <v>1260</v>
      </c>
      <c r="G939" s="180"/>
      <c r="H939" s="180"/>
      <c r="I939" s="647"/>
    </row>
    <row r="940" spans="1:9" ht="12.75">
      <c r="A940" s="185"/>
      <c r="B940" s="189"/>
      <c r="D940" s="620" t="s">
        <v>1332</v>
      </c>
      <c r="F940" s="611">
        <v>111063.37</v>
      </c>
      <c r="G940" s="180"/>
      <c r="H940" s="180"/>
      <c r="I940" s="647"/>
    </row>
    <row r="941" spans="1:9" ht="12.75">
      <c r="A941" s="185"/>
      <c r="B941" s="189"/>
      <c r="D941" s="620" t="s">
        <v>1333</v>
      </c>
      <c r="F941" s="611">
        <v>1781740</v>
      </c>
      <c r="G941" s="180"/>
      <c r="H941" s="180"/>
      <c r="I941" s="647"/>
    </row>
    <row r="942" spans="1:9" ht="12.75">
      <c r="A942" s="185"/>
      <c r="B942" s="189"/>
      <c r="D942" s="620" t="s">
        <v>1334</v>
      </c>
      <c r="F942" s="611">
        <v>-1916754</v>
      </c>
      <c r="G942" s="180"/>
      <c r="H942" s="180"/>
      <c r="I942" s="647"/>
    </row>
    <row r="943" spans="1:9" ht="12.75">
      <c r="A943" s="185"/>
      <c r="B943" s="189"/>
      <c r="D943" s="620" t="s">
        <v>1335</v>
      </c>
      <c r="F943" s="611">
        <v>432431.33</v>
      </c>
      <c r="G943" s="180"/>
      <c r="H943" s="180"/>
      <c r="I943" s="647"/>
    </row>
    <row r="944" spans="1:9" ht="12.75">
      <c r="A944" s="185"/>
      <c r="B944" s="189"/>
      <c r="D944" s="620" t="s">
        <v>1336</v>
      </c>
      <c r="F944" s="611">
        <v>5084935</v>
      </c>
      <c r="G944" s="180"/>
      <c r="H944" s="180"/>
      <c r="I944" s="647"/>
    </row>
    <row r="945" spans="1:9" ht="12.75">
      <c r="A945" s="185"/>
      <c r="B945" s="189"/>
      <c r="D945" s="620" t="s">
        <v>1337</v>
      </c>
      <c r="F945" s="611">
        <v>625625.17</v>
      </c>
      <c r="G945" s="180"/>
      <c r="H945" s="180"/>
      <c r="I945" s="647"/>
    </row>
    <row r="946" spans="1:9" ht="12.75">
      <c r="A946" s="185"/>
      <c r="B946" s="189"/>
      <c r="D946" s="620" t="s">
        <v>1338</v>
      </c>
      <c r="F946" s="611">
        <v>4074299.36</v>
      </c>
      <c r="G946" s="180"/>
      <c r="H946" s="180"/>
      <c r="I946" s="647"/>
    </row>
    <row r="947" spans="1:9" ht="12.75">
      <c r="A947" s="185"/>
      <c r="B947" s="189"/>
      <c r="D947" s="620" t="s">
        <v>1339</v>
      </c>
      <c r="F947" s="611">
        <v>167967722.11</v>
      </c>
      <c r="G947" s="180"/>
      <c r="H947" s="180"/>
      <c r="I947" s="647"/>
    </row>
    <row r="948" spans="1:9" ht="12.75">
      <c r="A948" s="185"/>
      <c r="B948" s="189"/>
      <c r="D948" s="620" t="s">
        <v>1340</v>
      </c>
      <c r="F948" s="611">
        <v>20165.9</v>
      </c>
      <c r="G948" s="180"/>
      <c r="H948" s="180"/>
      <c r="I948" s="647"/>
    </row>
    <row r="949" spans="1:9" ht="12.75">
      <c r="A949" s="185"/>
      <c r="B949" s="189"/>
      <c r="D949" s="620" t="s">
        <v>1341</v>
      </c>
      <c r="F949" s="611">
        <v>1388377</v>
      </c>
      <c r="G949" s="180"/>
      <c r="H949" s="180"/>
      <c r="I949" s="647"/>
    </row>
    <row r="950" spans="1:9" ht="12.75">
      <c r="A950" s="185"/>
      <c r="B950" s="189"/>
      <c r="D950" s="620" t="s">
        <v>1342</v>
      </c>
      <c r="F950" s="611">
        <v>-3355668.45</v>
      </c>
      <c r="G950" s="180"/>
      <c r="H950" s="180"/>
      <c r="I950" s="647"/>
    </row>
    <row r="951" spans="1:9" ht="12.75">
      <c r="A951" s="185"/>
      <c r="B951" s="189"/>
      <c r="D951" s="620" t="s">
        <v>1343</v>
      </c>
      <c r="F951" s="611">
        <v>18158</v>
      </c>
      <c r="G951" s="180"/>
      <c r="H951" s="180"/>
      <c r="I951" s="647"/>
    </row>
    <row r="952" spans="1:9" ht="12.75">
      <c r="A952" s="185"/>
      <c r="B952" s="189"/>
      <c r="D952" s="620" t="s">
        <v>1344</v>
      </c>
      <c r="F952" s="611">
        <v>37901892.99999999</v>
      </c>
      <c r="G952" s="180"/>
      <c r="H952" s="180"/>
      <c r="I952" s="647"/>
    </row>
    <row r="953" spans="1:9" ht="12.75">
      <c r="A953" s="185"/>
      <c r="B953" s="189"/>
      <c r="D953" s="620" t="s">
        <v>1345</v>
      </c>
      <c r="F953" s="611">
        <v>826884.88</v>
      </c>
      <c r="G953" s="180"/>
      <c r="H953" s="180"/>
      <c r="I953" s="647"/>
    </row>
    <row r="954" spans="1:9" ht="12.75">
      <c r="A954" s="185"/>
      <c r="B954" s="189"/>
      <c r="D954" s="621" t="s">
        <v>1346</v>
      </c>
      <c r="F954" s="611">
        <v>592522.85</v>
      </c>
      <c r="G954" s="180"/>
      <c r="H954" s="180"/>
      <c r="I954" s="647"/>
    </row>
    <row r="955" spans="1:9" ht="12.75">
      <c r="A955" s="185"/>
      <c r="B955" s="189"/>
      <c r="D955" s="621" t="s">
        <v>1347</v>
      </c>
      <c r="F955" s="611">
        <v>4219.35</v>
      </c>
      <c r="G955" s="180"/>
      <c r="H955" s="180"/>
      <c r="I955" s="647"/>
    </row>
    <row r="956" spans="1:9" ht="12.75">
      <c r="A956" s="185"/>
      <c r="B956" s="189"/>
      <c r="D956" s="621" t="s">
        <v>1348</v>
      </c>
      <c r="F956" s="611">
        <v>5419.35</v>
      </c>
      <c r="G956" s="180"/>
      <c r="H956" s="180"/>
      <c r="I956" s="647"/>
    </row>
    <row r="957" spans="1:9" ht="12.75">
      <c r="A957" s="185"/>
      <c r="B957" s="189"/>
      <c r="D957" s="620" t="s">
        <v>1349</v>
      </c>
      <c r="F957" s="611">
        <v>6513267</v>
      </c>
      <c r="G957" s="180"/>
      <c r="H957" s="609"/>
      <c r="I957" s="212"/>
    </row>
    <row r="958" spans="2:8" ht="13.5" customHeight="1">
      <c r="B958" s="294"/>
      <c r="E958" t="s">
        <v>1350</v>
      </c>
      <c r="F958" s="611"/>
      <c r="G958" s="611"/>
      <c r="H958" s="611">
        <v>31108686</v>
      </c>
    </row>
    <row r="959" spans="2:8" ht="13.5" customHeight="1">
      <c r="B959" s="294"/>
      <c r="E959" t="s">
        <v>1351</v>
      </c>
      <c r="F959" s="611"/>
      <c r="G959" s="611"/>
      <c r="H959" s="611">
        <v>217192794</v>
      </c>
    </row>
    <row r="960" spans="2:8" ht="13.5" customHeight="1">
      <c r="B960" s="294"/>
      <c r="E960" s="567"/>
      <c r="F960" s="611"/>
      <c r="G960" s="611"/>
      <c r="H960" s="611"/>
    </row>
    <row r="961" spans="2:8" ht="13.5" customHeight="1">
      <c r="B961" s="294"/>
      <c r="D961" t="s">
        <v>1080</v>
      </c>
      <c r="E961" s="567"/>
      <c r="F961" s="611"/>
      <c r="G961" s="611"/>
      <c r="H961" s="611"/>
    </row>
    <row r="962" spans="2:8" ht="13.5" customHeight="1">
      <c r="B962" s="294"/>
      <c r="E962" s="567"/>
      <c r="F962" s="611"/>
      <c r="G962" s="611"/>
      <c r="H962" s="611"/>
    </row>
    <row r="963" spans="2:8" ht="12.75">
      <c r="B963" s="189"/>
      <c r="D963" s="610"/>
      <c r="E963" s="335"/>
      <c r="F963" s="609"/>
      <c r="G963" s="609"/>
      <c r="H963" s="609"/>
    </row>
    <row r="964" spans="2:8" ht="12.75">
      <c r="B964" s="189" t="s">
        <v>604</v>
      </c>
      <c r="D964" s="296" t="s">
        <v>1091</v>
      </c>
      <c r="E964" s="335"/>
      <c r="F964" s="609"/>
      <c r="G964" s="609"/>
      <c r="H964" s="609"/>
    </row>
    <row r="965" spans="2:8" ht="12.75">
      <c r="B965" s="189"/>
      <c r="D965" s="296" t="s">
        <v>1308</v>
      </c>
      <c r="E965" s="335"/>
      <c r="F965" s="609">
        <v>2075001</v>
      </c>
      <c r="G965" s="609"/>
      <c r="H965" s="609"/>
    </row>
    <row r="966" spans="2:8" ht="12.75">
      <c r="B966" s="189"/>
      <c r="D966" s="610" t="s">
        <v>518</v>
      </c>
      <c r="E966" s="335"/>
      <c r="F966" s="609">
        <v>12052008</v>
      </c>
      <c r="G966" s="609"/>
      <c r="H966" s="609"/>
    </row>
    <row r="967" spans="2:8" ht="12.75">
      <c r="B967" s="189"/>
      <c r="D967" s="610"/>
      <c r="E967" t="s">
        <v>1350</v>
      </c>
      <c r="F967" s="609"/>
      <c r="G967" s="609"/>
      <c r="H967" s="609">
        <v>14127009</v>
      </c>
    </row>
    <row r="968" spans="2:8" ht="12.75">
      <c r="B968" s="189"/>
      <c r="D968" s="610"/>
      <c r="E968" s="335"/>
      <c r="F968" s="609"/>
      <c r="G968" s="609"/>
      <c r="H968" s="609"/>
    </row>
    <row r="969" spans="2:8" ht="12.75">
      <c r="B969" s="189"/>
      <c r="D969" s="610" t="s">
        <v>1307</v>
      </c>
      <c r="E969" s="335"/>
      <c r="F969" s="609"/>
      <c r="G969" s="609"/>
      <c r="H969" s="609"/>
    </row>
    <row r="970" spans="2:8" ht="12.75">
      <c r="B970" s="189"/>
      <c r="D970" s="610" t="s">
        <v>1309</v>
      </c>
      <c r="E970" s="335"/>
      <c r="F970" s="609"/>
      <c r="G970" s="609"/>
      <c r="H970" s="609"/>
    </row>
    <row r="971" spans="2:8" ht="12.75">
      <c r="B971" s="189"/>
      <c r="D971" s="610"/>
      <c r="E971" s="335"/>
      <c r="F971" s="609"/>
      <c r="G971" s="609"/>
      <c r="H971" s="609"/>
    </row>
    <row r="972" spans="2:8" ht="12.75">
      <c r="B972" s="189"/>
      <c r="D972" s="610"/>
      <c r="E972" s="335"/>
      <c r="F972" s="609"/>
      <c r="G972" s="609"/>
      <c r="H972" s="609"/>
    </row>
    <row r="973" spans="2:8" ht="12.75">
      <c r="B973" s="189"/>
      <c r="D973" s="610"/>
      <c r="E973" s="335"/>
      <c r="F973" s="609"/>
      <c r="G973" s="609"/>
      <c r="H973" s="609"/>
    </row>
    <row r="974" spans="2:8" ht="12.75">
      <c r="B974" s="189" t="s">
        <v>588</v>
      </c>
      <c r="D974" s="296" t="s">
        <v>1352</v>
      </c>
      <c r="E974" s="335"/>
      <c r="F974" s="609">
        <v>12920176</v>
      </c>
      <c r="G974" s="609"/>
      <c r="H974" s="609"/>
    </row>
    <row r="975" spans="2:8" ht="12.75">
      <c r="B975" s="189"/>
      <c r="D975" s="610"/>
      <c r="E975" s="335" t="s">
        <v>1353</v>
      </c>
      <c r="F975" s="609"/>
      <c r="G975" s="609"/>
      <c r="H975" s="609">
        <v>12920176</v>
      </c>
    </row>
    <row r="976" spans="2:8" ht="12.75">
      <c r="B976" s="189"/>
      <c r="D976" s="610"/>
      <c r="E976" s="335"/>
      <c r="F976" s="609"/>
      <c r="G976" s="609"/>
      <c r="H976" s="609"/>
    </row>
    <row r="977" spans="2:8" ht="12.75">
      <c r="B977" s="189"/>
      <c r="D977" s="610" t="s">
        <v>1279</v>
      </c>
      <c r="E977" s="335"/>
      <c r="F977" s="609"/>
      <c r="G977" s="609"/>
      <c r="H977" s="609"/>
    </row>
    <row r="978" spans="2:8" ht="12.75">
      <c r="B978" s="189"/>
      <c r="D978" s="610" t="s">
        <v>1354</v>
      </c>
      <c r="E978" s="335"/>
      <c r="F978" s="609"/>
      <c r="G978" s="609"/>
      <c r="H978" s="609"/>
    </row>
    <row r="979" spans="2:8" ht="12.75">
      <c r="B979" s="189"/>
      <c r="D979" s="610"/>
      <c r="E979" s="335"/>
      <c r="F979" s="609"/>
      <c r="G979" s="609"/>
      <c r="H979" s="609"/>
    </row>
    <row r="980" spans="4:8" ht="12.75">
      <c r="D980" s="296"/>
      <c r="E980" s="335"/>
      <c r="F980" s="609"/>
      <c r="G980" s="609"/>
      <c r="H980" s="609"/>
    </row>
    <row r="981" spans="2:8" s="189" customFormat="1" ht="13.5" customHeight="1">
      <c r="B981" s="183">
        <v>2000</v>
      </c>
      <c r="C981" s="184"/>
      <c r="D981" s="184"/>
      <c r="E981" s="184"/>
      <c r="F981" s="723"/>
      <c r="G981" s="723"/>
      <c r="H981" s="723"/>
    </row>
    <row r="982" spans="2:8" s="189" customFormat="1" ht="13.5" customHeight="1">
      <c r="B982" s="404"/>
      <c r="F982" s="190"/>
      <c r="G982" s="190"/>
      <c r="H982" s="190"/>
    </row>
    <row r="983" spans="2:8" ht="13.5" customHeight="1">
      <c r="B983" s="176" t="s">
        <v>589</v>
      </c>
      <c r="D983" t="s">
        <v>1396</v>
      </c>
      <c r="F983" s="180">
        <v>1000687</v>
      </c>
      <c r="G983" s="180"/>
      <c r="H983" s="180"/>
    </row>
    <row r="984" spans="5:8" ht="13.5" customHeight="1">
      <c r="E984" t="s">
        <v>1395</v>
      </c>
      <c r="F984" s="180"/>
      <c r="G984" s="180"/>
      <c r="H984" s="180">
        <v>1000687</v>
      </c>
    </row>
    <row r="985" spans="2:8" ht="13.5" customHeight="1">
      <c r="B985" s="176"/>
      <c r="F985" s="180"/>
      <c r="G985" s="180"/>
      <c r="H985" s="180"/>
    </row>
    <row r="986" spans="2:8" ht="13.5" customHeight="1">
      <c r="B986" s="176"/>
      <c r="D986" t="s">
        <v>352</v>
      </c>
      <c r="F986" s="180"/>
      <c r="G986" s="180"/>
      <c r="H986" s="180"/>
    </row>
    <row r="987" spans="2:8" ht="13.5" customHeight="1">
      <c r="B987" s="176"/>
      <c r="D987" t="s">
        <v>353</v>
      </c>
      <c r="F987" s="180"/>
      <c r="G987" s="180"/>
      <c r="H987" s="180"/>
    </row>
    <row r="988" spans="6:8" ht="12.75">
      <c r="F988" s="180"/>
      <c r="G988" s="180"/>
      <c r="H988" s="180"/>
    </row>
    <row r="989" spans="2:8" s="189" customFormat="1" ht="13.5" customHeight="1">
      <c r="B989" s="404"/>
      <c r="F989" s="190"/>
      <c r="G989" s="190"/>
      <c r="H989" s="190"/>
    </row>
    <row r="990" spans="2:8" ht="13.5" customHeight="1">
      <c r="B990" s="176" t="s">
        <v>605</v>
      </c>
      <c r="D990" t="s">
        <v>1396</v>
      </c>
      <c r="F990" s="180">
        <v>385106.74</v>
      </c>
      <c r="G990" s="180"/>
      <c r="H990" s="180"/>
    </row>
    <row r="991" spans="2:8" ht="13.5" customHeight="1">
      <c r="B991" s="176"/>
      <c r="E991" t="s">
        <v>1395</v>
      </c>
      <c r="F991" s="180"/>
      <c r="G991" s="180"/>
      <c r="H991" s="180">
        <v>385106.74</v>
      </c>
    </row>
    <row r="992" spans="2:8" ht="13.5" customHeight="1">
      <c r="B992" s="176"/>
      <c r="F992" s="180"/>
      <c r="G992" s="180"/>
      <c r="H992" s="180"/>
    </row>
    <row r="993" spans="2:8" ht="13.5" customHeight="1">
      <c r="B993" s="176"/>
      <c r="D993" t="s">
        <v>1398</v>
      </c>
      <c r="F993" s="180"/>
      <c r="G993" s="180"/>
      <c r="H993" s="180"/>
    </row>
    <row r="994" spans="2:8" ht="13.5" customHeight="1">
      <c r="B994" s="176"/>
      <c r="F994" s="180"/>
      <c r="G994" s="180"/>
      <c r="H994" s="180"/>
    </row>
    <row r="995" ht="13.5" customHeight="1"/>
    <row r="996" spans="2:8" ht="13.5" customHeight="1">
      <c r="B996" s="176" t="s">
        <v>520</v>
      </c>
      <c r="D996" t="s">
        <v>684</v>
      </c>
      <c r="F996" s="180">
        <v>2983770.6780000003</v>
      </c>
      <c r="G996" s="180"/>
      <c r="H996" s="180"/>
    </row>
    <row r="997" spans="2:8" ht="13.5" customHeight="1">
      <c r="B997" s="176"/>
      <c r="E997" t="s">
        <v>809</v>
      </c>
      <c r="F997" s="180"/>
      <c r="G997" s="180"/>
      <c r="H997" s="180">
        <v>2983770.6780000003</v>
      </c>
    </row>
    <row r="998" spans="2:8" ht="13.5" customHeight="1">
      <c r="B998" s="176"/>
      <c r="F998" s="180"/>
      <c r="G998" s="180"/>
      <c r="H998" s="180"/>
    </row>
    <row r="999" spans="2:8" ht="13.5" customHeight="1">
      <c r="B999" s="176"/>
      <c r="D999" t="s">
        <v>828</v>
      </c>
      <c r="F999" s="180"/>
      <c r="G999" s="180"/>
      <c r="H999" s="180"/>
    </row>
    <row r="1000" spans="2:8" ht="13.5" customHeight="1">
      <c r="B1000" s="176"/>
      <c r="F1000" s="180"/>
      <c r="G1000" s="180"/>
      <c r="H1000" s="180"/>
    </row>
    <row r="1001" spans="2:8" ht="13.5" customHeight="1">
      <c r="B1001" s="176"/>
      <c r="F1001" s="180"/>
      <c r="G1001" s="180"/>
      <c r="H1001" s="180"/>
    </row>
    <row r="1002" spans="2:8" ht="13.5" customHeight="1">
      <c r="B1002" s="176" t="s">
        <v>521</v>
      </c>
      <c r="D1002" t="s">
        <v>809</v>
      </c>
      <c r="F1002" s="180">
        <v>269059</v>
      </c>
      <c r="G1002" s="180"/>
      <c r="H1002" s="180"/>
    </row>
    <row r="1003" spans="2:8" ht="13.5" customHeight="1">
      <c r="B1003" s="176"/>
      <c r="E1003" t="s">
        <v>685</v>
      </c>
      <c r="F1003" s="180"/>
      <c r="G1003" s="180"/>
      <c r="H1003" s="180">
        <v>269059</v>
      </c>
    </row>
    <row r="1004" spans="2:8" ht="13.5" customHeight="1">
      <c r="B1004" s="176"/>
      <c r="F1004" s="180"/>
      <c r="G1004" s="180"/>
      <c r="H1004" s="180"/>
    </row>
    <row r="1005" spans="2:8" ht="13.5" customHeight="1">
      <c r="B1005" s="176"/>
      <c r="D1005" t="s">
        <v>827</v>
      </c>
      <c r="F1005" s="180"/>
      <c r="G1005" s="180"/>
      <c r="H1005" s="180"/>
    </row>
    <row r="1006" spans="2:8" ht="13.5" customHeight="1">
      <c r="B1006" s="176"/>
      <c r="F1006" s="180"/>
      <c r="G1006" s="180"/>
      <c r="H1006" s="180"/>
    </row>
    <row r="1007" spans="2:8" ht="13.5" customHeight="1">
      <c r="B1007" s="176"/>
      <c r="F1007" s="180"/>
      <c r="G1007" s="180"/>
      <c r="H1007" s="180"/>
    </row>
    <row r="1008" spans="2:8" ht="13.5" customHeight="1">
      <c r="B1008" s="176" t="s">
        <v>118</v>
      </c>
      <c r="D1008" t="s">
        <v>1355</v>
      </c>
      <c r="F1008" s="180">
        <v>12523001</v>
      </c>
      <c r="G1008" s="180"/>
      <c r="H1008" s="180"/>
    </row>
    <row r="1009" spans="2:8" ht="13.5" customHeight="1">
      <c r="B1009" s="176"/>
      <c r="E1009" t="s">
        <v>969</v>
      </c>
      <c r="F1009" s="180"/>
      <c r="G1009" s="180"/>
      <c r="H1009" s="180">
        <v>12523001</v>
      </c>
    </row>
    <row r="1010" spans="2:8" ht="13.5" customHeight="1">
      <c r="B1010" s="176"/>
      <c r="D1010" t="s">
        <v>970</v>
      </c>
      <c r="F1010" s="180"/>
      <c r="G1010" s="180"/>
      <c r="H1010" s="180"/>
    </row>
    <row r="1011" spans="2:8" ht="13.5" customHeight="1">
      <c r="B1011" s="176"/>
      <c r="F1011" s="180"/>
      <c r="G1011" s="180"/>
      <c r="H1011" s="180"/>
    </row>
    <row r="1012" spans="2:7" ht="13.5" customHeight="1">
      <c r="B1012" s="176"/>
      <c r="F1012" s="180"/>
      <c r="G1012" s="180"/>
    </row>
    <row r="1013" spans="5:8" ht="12.75">
      <c r="E1013" s="335"/>
      <c r="F1013" s="609"/>
      <c r="G1013" s="609"/>
      <c r="H1013" s="609"/>
    </row>
    <row r="1014" spans="2:8" ht="12.75">
      <c r="B1014" s="187" t="s">
        <v>557</v>
      </c>
      <c r="C1014" s="184"/>
      <c r="D1014" s="184"/>
      <c r="E1014" s="184"/>
      <c r="F1014" s="644"/>
      <c r="G1014" s="644"/>
      <c r="H1014" s="644"/>
    </row>
    <row r="1015" spans="2:8" ht="12.75">
      <c r="B1015" s="188"/>
      <c r="C1015" s="189"/>
      <c r="D1015" s="189"/>
      <c r="E1015" s="189"/>
      <c r="F1015" s="646"/>
      <c r="G1015" s="646"/>
      <c r="H1015" s="646"/>
    </row>
    <row r="1016" spans="2:8" ht="12.75">
      <c r="B1016" s="176"/>
      <c r="F1016" s="611"/>
      <c r="G1016" s="611"/>
      <c r="H1016" s="611"/>
    </row>
    <row r="1017" spans="2:9" ht="12.75">
      <c r="B1017" s="176" t="s">
        <v>1206</v>
      </c>
      <c r="D1017" t="s">
        <v>1019</v>
      </c>
      <c r="F1017" s="611">
        <v>1706400</v>
      </c>
      <c r="G1017" s="611"/>
      <c r="H1017" s="611"/>
      <c r="I1017" s="282"/>
    </row>
    <row r="1018" spans="2:8" ht="12.75">
      <c r="B1018" s="176"/>
      <c r="D1018" t="s">
        <v>1051</v>
      </c>
      <c r="F1018" s="611">
        <v>600000</v>
      </c>
      <c r="G1018" s="611"/>
      <c r="H1018" s="611"/>
    </row>
    <row r="1019" spans="2:8" ht="12.75">
      <c r="B1019" s="176"/>
      <c r="E1019" t="s">
        <v>1052</v>
      </c>
      <c r="F1019" s="611"/>
      <c r="G1019" s="611"/>
      <c r="H1019" s="611">
        <v>2306400</v>
      </c>
    </row>
    <row r="1020" spans="2:8" ht="12.75">
      <c r="B1020" s="176"/>
      <c r="F1020" s="611"/>
      <c r="G1020" s="611"/>
      <c r="H1020" s="611"/>
    </row>
    <row r="1021" spans="2:8" ht="12.75">
      <c r="B1021" s="176"/>
      <c r="D1021" t="s">
        <v>1053</v>
      </c>
      <c r="F1021" s="611"/>
      <c r="G1021" s="611"/>
      <c r="H1021" s="611"/>
    </row>
    <row r="1022" spans="2:8" ht="12.75">
      <c r="B1022" s="176"/>
      <c r="F1022" s="611"/>
      <c r="G1022" s="611"/>
      <c r="H1022" s="611"/>
    </row>
    <row r="1023" spans="2:8" ht="12.75">
      <c r="B1023" s="176"/>
      <c r="F1023" s="611"/>
      <c r="G1023" s="611"/>
      <c r="H1023" s="611"/>
    </row>
    <row r="1024" spans="2:8" ht="12.75">
      <c r="B1024" s="618" t="s">
        <v>594</v>
      </c>
      <c r="D1024" t="s">
        <v>811</v>
      </c>
      <c r="F1024" s="611">
        <v>833333</v>
      </c>
      <c r="G1024" s="611"/>
      <c r="H1024" s="611"/>
    </row>
    <row r="1025" spans="2:8" ht="12.75">
      <c r="B1025" s="176"/>
      <c r="E1025" s="610" t="s">
        <v>812</v>
      </c>
      <c r="F1025" s="611"/>
      <c r="G1025" s="611"/>
      <c r="H1025" s="611">
        <v>233333</v>
      </c>
    </row>
    <row r="1026" spans="2:8" ht="12.75">
      <c r="B1026" s="176"/>
      <c r="E1026" s="610" t="s">
        <v>813</v>
      </c>
      <c r="F1026" s="611"/>
      <c r="G1026" s="611"/>
      <c r="H1026" s="611">
        <v>600000</v>
      </c>
    </row>
    <row r="1027" spans="2:8" ht="12.75">
      <c r="B1027" s="176"/>
      <c r="D1027" s="610" t="s">
        <v>814</v>
      </c>
      <c r="F1027" s="611"/>
      <c r="G1027" s="611"/>
      <c r="H1027" s="611"/>
    </row>
    <row r="1028" spans="2:8" ht="12.75">
      <c r="B1028" s="176"/>
      <c r="F1028" s="611"/>
      <c r="G1028" s="611"/>
      <c r="H1028" s="611"/>
    </row>
    <row r="1029" spans="2:8" ht="12.75">
      <c r="B1029" s="176"/>
      <c r="F1029" s="611"/>
      <c r="G1029" s="611"/>
      <c r="H1029" s="611"/>
    </row>
    <row r="1030" spans="2:8" ht="12.75">
      <c r="B1030" s="176" t="s">
        <v>815</v>
      </c>
      <c r="D1030" t="s">
        <v>816</v>
      </c>
      <c r="F1030" s="611">
        <v>400000</v>
      </c>
      <c r="G1030" s="611"/>
      <c r="H1030" s="611"/>
    </row>
    <row r="1031" spans="2:8" ht="12.75">
      <c r="B1031" s="176"/>
      <c r="E1031" t="s">
        <v>817</v>
      </c>
      <c r="F1031" s="611"/>
      <c r="G1031" s="611"/>
      <c r="H1031" s="611">
        <v>400000</v>
      </c>
    </row>
    <row r="1032" spans="2:8" ht="12.75">
      <c r="B1032" s="176"/>
      <c r="D1032" s="610" t="s">
        <v>814</v>
      </c>
      <c r="F1032" s="611"/>
      <c r="G1032" s="611"/>
      <c r="H1032" s="611"/>
    </row>
    <row r="1033" spans="2:8" ht="12.75">
      <c r="B1033" s="176"/>
      <c r="F1033" s="611"/>
      <c r="G1033" s="611"/>
      <c r="H1033" s="611"/>
    </row>
    <row r="1034" spans="2:8" ht="12.75">
      <c r="B1034" s="176"/>
      <c r="F1034" s="611"/>
      <c r="G1034" s="611"/>
      <c r="H1034" s="611"/>
    </row>
    <row r="1035" spans="2:8" ht="12.75">
      <c r="B1035" s="176"/>
      <c r="F1035" s="180"/>
      <c r="G1035" s="180"/>
      <c r="H1035" s="180"/>
    </row>
    <row r="1036" spans="2:8" ht="12.75">
      <c r="B1036" s="176" t="s">
        <v>1207</v>
      </c>
      <c r="D1036" t="s">
        <v>1054</v>
      </c>
      <c r="F1036" s="180">
        <f>+'Con B&amp;S Journals'!E360</f>
        <v>-8959.61</v>
      </c>
      <c r="G1036" s="180"/>
      <c r="H1036" s="180">
        <f>'Con B&amp;S Journals'!F360</f>
        <v>0</v>
      </c>
    </row>
    <row r="1037" spans="2:8" ht="12.75">
      <c r="B1037" s="176"/>
      <c r="D1037" t="s">
        <v>1081</v>
      </c>
      <c r="F1037" s="180"/>
      <c r="G1037" s="180"/>
      <c r="H1037" s="180">
        <f>'Con B&amp;S Journals'!F362</f>
        <v>1091210.4</v>
      </c>
    </row>
    <row r="1038" spans="2:8" ht="12.75">
      <c r="B1038" s="176"/>
      <c r="D1038" t="s">
        <v>1082</v>
      </c>
      <c r="F1038" s="180"/>
      <c r="G1038" s="180"/>
      <c r="H1038" s="180">
        <f>'Con B&amp;S Journals'!F363</f>
        <v>542655735.75</v>
      </c>
    </row>
    <row r="1039" spans="2:8" ht="12.75">
      <c r="B1039" s="176"/>
      <c r="D1039" t="s">
        <v>1083</v>
      </c>
      <c r="F1039" s="180"/>
      <c r="G1039" s="180"/>
      <c r="H1039" s="180">
        <f>'Con B&amp;S Journals'!F364</f>
        <v>822682.8</v>
      </c>
    </row>
    <row r="1040" spans="2:8" ht="12.75">
      <c r="B1040" s="176"/>
      <c r="D1040" t="s">
        <v>758</v>
      </c>
      <c r="F1040" s="180"/>
      <c r="G1040" s="180"/>
      <c r="H1040" s="180">
        <f>'Con B&amp;S Journals'!F365</f>
        <v>0</v>
      </c>
    </row>
    <row r="1041" spans="2:10" ht="12.75">
      <c r="B1041" s="176"/>
      <c r="E1041" t="s">
        <v>1055</v>
      </c>
      <c r="F1041" s="180"/>
      <c r="G1041" s="180"/>
      <c r="H1041" s="180"/>
      <c r="J1041" s="186">
        <f>SUM(F1036:F1044)</f>
        <v>544569626.78</v>
      </c>
    </row>
    <row r="1042" spans="2:10" ht="12.75">
      <c r="B1042" s="176"/>
      <c r="E1042" t="s">
        <v>1084</v>
      </c>
      <c r="F1042" s="180">
        <f>'Con B&amp;S Journals'!E373</f>
        <v>535458382.44</v>
      </c>
      <c r="G1042" s="180"/>
      <c r="H1042" s="180"/>
      <c r="J1042" s="186">
        <f>SUM(H1036:H1041)</f>
        <v>544569628.9499999</v>
      </c>
    </row>
    <row r="1043" spans="2:8" ht="12.75">
      <c r="B1043" s="176"/>
      <c r="E1043" t="s">
        <v>1085</v>
      </c>
      <c r="F1043" s="180">
        <f>'Con B&amp;S Journals'!E374</f>
        <v>391878</v>
      </c>
      <c r="G1043" s="180"/>
      <c r="H1043" s="180"/>
    </row>
    <row r="1044" spans="2:10" ht="12.75">
      <c r="B1044" s="176"/>
      <c r="E1044" t="s">
        <v>1086</v>
      </c>
      <c r="F1044" s="180">
        <f>'Con B&amp;S Journals'!E375</f>
        <v>8728325.950000001</v>
      </c>
      <c r="G1044" s="180"/>
      <c r="H1044" s="180"/>
      <c r="I1044" s="186"/>
      <c r="J1044" s="186">
        <f>+J1041-J1042</f>
        <v>-2.1699999570846558</v>
      </c>
    </row>
    <row r="1045" spans="2:9" ht="12.75">
      <c r="B1045" s="176"/>
      <c r="E1045" t="s">
        <v>758</v>
      </c>
      <c r="F1045" s="180">
        <f>'Con B&amp;S Journals'!E376</f>
        <v>0</v>
      </c>
      <c r="G1045" s="180"/>
      <c r="H1045" s="180"/>
      <c r="I1045" s="186"/>
    </row>
    <row r="1046" spans="2:9" ht="13.5" customHeight="1">
      <c r="B1046" s="176"/>
      <c r="F1046" s="180"/>
      <c r="G1046" s="180"/>
      <c r="H1046" s="180"/>
      <c r="I1046" s="186">
        <f>+H1046-F1046</f>
        <v>0</v>
      </c>
    </row>
    <row r="1047" spans="2:8" ht="12.75">
      <c r="B1047" s="176"/>
      <c r="F1047" s="611"/>
      <c r="G1047" s="611"/>
      <c r="H1047" s="611"/>
    </row>
    <row r="1048" spans="2:10" ht="13.5" customHeight="1">
      <c r="B1048" s="176"/>
      <c r="F1048" s="611"/>
      <c r="G1048" s="611"/>
      <c r="H1048" s="611"/>
      <c r="I1048" s="186"/>
      <c r="J1048" s="186"/>
    </row>
    <row r="1049" spans="2:8" ht="13.5" customHeight="1">
      <c r="B1049" s="176"/>
      <c r="F1049" s="611"/>
      <c r="G1049" s="611"/>
      <c r="H1049" s="611"/>
    </row>
    <row r="1050" spans="2:8" ht="13.5" customHeight="1">
      <c r="B1050" s="651" t="s">
        <v>1208</v>
      </c>
      <c r="C1050" s="403"/>
      <c r="D1050" s="403" t="s">
        <v>1355</v>
      </c>
      <c r="E1050" s="403"/>
      <c r="F1050" s="652">
        <v>2027981</v>
      </c>
      <c r="G1050" s="652"/>
      <c r="H1050" s="652"/>
    </row>
    <row r="1051" spans="2:8" ht="13.5" customHeight="1">
      <c r="B1051" s="651"/>
      <c r="C1051" s="403"/>
      <c r="D1051" s="403"/>
      <c r="E1051" s="403" t="s">
        <v>818</v>
      </c>
      <c r="F1051" s="652"/>
      <c r="G1051" s="652"/>
      <c r="H1051" s="652">
        <v>2027981</v>
      </c>
    </row>
    <row r="1052" spans="2:8" ht="13.5" customHeight="1">
      <c r="B1052" s="651"/>
      <c r="C1052" s="403"/>
      <c r="D1052" s="403" t="s">
        <v>819</v>
      </c>
      <c r="E1052" s="403"/>
      <c r="F1052" s="652"/>
      <c r="G1052" s="652"/>
      <c r="H1052" s="652"/>
    </row>
    <row r="1053" spans="2:8" ht="13.5" customHeight="1">
      <c r="B1053" s="651"/>
      <c r="C1053" s="403"/>
      <c r="D1053" s="653" t="s">
        <v>820</v>
      </c>
      <c r="E1053" s="403"/>
      <c r="F1053" s="652"/>
      <c r="G1053" s="652"/>
      <c r="H1053" s="652"/>
    </row>
    <row r="1054" spans="2:8" ht="12.75">
      <c r="B1054" s="176"/>
      <c r="F1054" s="611"/>
      <c r="G1054" s="611"/>
      <c r="H1054" s="611"/>
    </row>
    <row r="1055" spans="2:8" ht="12.75">
      <c r="B1055" s="176"/>
      <c r="F1055" s="611"/>
      <c r="G1055" s="611"/>
      <c r="H1055" s="611"/>
    </row>
    <row r="1056" spans="1:8" ht="13.5" customHeight="1">
      <c r="A1056" s="189"/>
      <c r="B1056" s="196" t="s">
        <v>1214</v>
      </c>
      <c r="C1056" s="184"/>
      <c r="D1056" s="184" t="s">
        <v>1203</v>
      </c>
      <c r="E1056" s="184"/>
      <c r="F1056" s="644">
        <v>1514951</v>
      </c>
      <c r="G1056" s="644"/>
      <c r="H1056" s="644">
        <v>1514951</v>
      </c>
    </row>
    <row r="1057" spans="1:9" ht="13.5" customHeight="1">
      <c r="A1057" s="189"/>
      <c r="B1057" s="196"/>
      <c r="C1057" s="184"/>
      <c r="D1057" s="184"/>
      <c r="E1057" s="184" t="s">
        <v>1019</v>
      </c>
      <c r="F1057" s="644">
        <v>1514951</v>
      </c>
      <c r="G1057" s="644"/>
      <c r="H1057" s="644">
        <v>1514951</v>
      </c>
      <c r="I1057" s="186"/>
    </row>
    <row r="1058" spans="1:9" ht="13.5" customHeight="1">
      <c r="A1058" s="189"/>
      <c r="B1058" s="196"/>
      <c r="C1058" s="184"/>
      <c r="D1058" s="184"/>
      <c r="E1058" s="184"/>
      <c r="F1058" s="644"/>
      <c r="G1058" s="644"/>
      <c r="H1058" s="644"/>
      <c r="I1058" s="186"/>
    </row>
    <row r="1059" spans="1:9" ht="13.5" customHeight="1">
      <c r="A1059" s="189"/>
      <c r="B1059" s="196"/>
      <c r="C1059" s="184"/>
      <c r="D1059" s="184" t="s">
        <v>1204</v>
      </c>
      <c r="E1059" s="184"/>
      <c r="F1059" s="644"/>
      <c r="G1059" s="644"/>
      <c r="H1059" s="644"/>
      <c r="I1059" s="186"/>
    </row>
    <row r="1060" spans="2:8" ht="12.75">
      <c r="B1060" s="196"/>
      <c r="C1060" s="184"/>
      <c r="D1060" s="184"/>
      <c r="E1060" s="184"/>
      <c r="F1060" s="644"/>
      <c r="G1060" s="644"/>
      <c r="H1060" s="644"/>
    </row>
    <row r="1061" spans="2:8" ht="12.75">
      <c r="B1061" s="196"/>
      <c r="C1061" s="184"/>
      <c r="D1061" s="184"/>
      <c r="E1061" s="184"/>
      <c r="F1061" s="644"/>
      <c r="G1061" s="644"/>
      <c r="H1061" s="644"/>
    </row>
    <row r="1062" spans="1:8" ht="12.75">
      <c r="A1062" s="189"/>
      <c r="B1062" s="196" t="s">
        <v>1215</v>
      </c>
      <c r="C1062" s="184"/>
      <c r="D1062" s="184" t="s">
        <v>1209</v>
      </c>
      <c r="E1062" s="184"/>
      <c r="F1062" s="644">
        <v>78450</v>
      </c>
      <c r="G1062" s="644"/>
      <c r="H1062" s="644">
        <v>78450</v>
      </c>
    </row>
    <row r="1063" spans="1:8" ht="12.75">
      <c r="A1063" s="189"/>
      <c r="B1063" s="196"/>
      <c r="C1063" s="184"/>
      <c r="D1063" s="184"/>
      <c r="E1063" s="184" t="s">
        <v>125</v>
      </c>
      <c r="F1063" s="644">
        <v>2018</v>
      </c>
      <c r="G1063" s="644"/>
      <c r="H1063" s="644">
        <v>2018</v>
      </c>
    </row>
    <row r="1064" spans="1:9" ht="12.75">
      <c r="A1064" s="189"/>
      <c r="B1064" s="196"/>
      <c r="C1064" s="184"/>
      <c r="D1064" s="184"/>
      <c r="E1064" s="184" t="s">
        <v>1210</v>
      </c>
      <c r="F1064" s="644">
        <v>76432</v>
      </c>
      <c r="G1064" s="644"/>
      <c r="H1064" s="644">
        <v>76432</v>
      </c>
      <c r="I1064" s="186">
        <f>+H1064+H1069</f>
        <v>76662</v>
      </c>
    </row>
    <row r="1065" spans="1:8" ht="12.75">
      <c r="A1065" s="189"/>
      <c r="B1065" s="196"/>
      <c r="C1065" s="184"/>
      <c r="D1065" s="184"/>
      <c r="E1065" s="184"/>
      <c r="F1065" s="644"/>
      <c r="G1065" s="644"/>
      <c r="H1065" s="644"/>
    </row>
    <row r="1066" spans="1:8" ht="12.75">
      <c r="A1066" s="189"/>
      <c r="B1066" s="196"/>
      <c r="C1066" s="184"/>
      <c r="D1066" s="184" t="s">
        <v>1213</v>
      </c>
      <c r="E1066" s="184"/>
      <c r="F1066" s="644"/>
      <c r="G1066" s="644"/>
      <c r="H1066" s="644"/>
    </row>
    <row r="1067" spans="1:8" ht="12.75">
      <c r="A1067" s="189"/>
      <c r="B1067" s="196"/>
      <c r="C1067" s="184"/>
      <c r="D1067" s="184"/>
      <c r="E1067" s="184"/>
      <c r="F1067" s="644"/>
      <c r="G1067" s="644"/>
      <c r="H1067" s="644"/>
    </row>
    <row r="1068" spans="1:8" ht="12.75">
      <c r="A1068" s="189"/>
      <c r="B1068" s="196"/>
      <c r="C1068" s="184"/>
      <c r="D1068" s="184"/>
      <c r="E1068" s="184"/>
      <c r="F1068" s="644"/>
      <c r="G1068" s="644"/>
      <c r="H1068" s="644"/>
    </row>
    <row r="1069" spans="1:8" ht="12.75">
      <c r="A1069" s="189"/>
      <c r="B1069" s="196" t="s">
        <v>1211</v>
      </c>
      <c r="C1069" s="184"/>
      <c r="D1069" s="184" t="s">
        <v>1054</v>
      </c>
      <c r="E1069" s="184"/>
      <c r="F1069" s="644">
        <v>230</v>
      </c>
      <c r="G1069" s="644"/>
      <c r="H1069" s="644">
        <v>230</v>
      </c>
    </row>
    <row r="1070" spans="1:8" ht="12.75">
      <c r="A1070" s="189"/>
      <c r="B1070" s="196"/>
      <c r="C1070" s="184"/>
      <c r="D1070" s="184"/>
      <c r="E1070" s="184" t="s">
        <v>1019</v>
      </c>
      <c r="F1070" s="644">
        <v>230</v>
      </c>
      <c r="G1070" s="644"/>
      <c r="H1070" s="644">
        <v>230</v>
      </c>
    </row>
    <row r="1071" spans="1:8" ht="12.75">
      <c r="A1071" s="189"/>
      <c r="B1071" s="196"/>
      <c r="C1071" s="184"/>
      <c r="D1071" s="184"/>
      <c r="E1071" s="184"/>
      <c r="F1071" s="644"/>
      <c r="G1071" s="644"/>
      <c r="H1071" s="644"/>
    </row>
    <row r="1072" spans="1:8" ht="12.75">
      <c r="A1072" s="189"/>
      <c r="B1072" s="196"/>
      <c r="C1072" s="184"/>
      <c r="D1072" s="184" t="s">
        <v>1089</v>
      </c>
      <c r="E1072" s="184"/>
      <c r="F1072" s="644"/>
      <c r="G1072" s="644"/>
      <c r="H1072" s="644"/>
    </row>
    <row r="1073" spans="1:8" ht="12.75">
      <c r="A1073" s="189"/>
      <c r="B1073" s="196"/>
      <c r="C1073" s="184"/>
      <c r="D1073" s="184"/>
      <c r="E1073" s="184"/>
      <c r="F1073" s="644"/>
      <c r="G1073" s="644"/>
      <c r="H1073" s="644"/>
    </row>
    <row r="1074" spans="1:8" ht="12.75">
      <c r="A1074" s="189"/>
      <c r="B1074" s="196"/>
      <c r="C1074" s="184"/>
      <c r="D1074" s="184"/>
      <c r="E1074" s="184"/>
      <c r="F1074" s="644"/>
      <c r="G1074" s="644"/>
      <c r="H1074" s="644"/>
    </row>
    <row r="1075" spans="1:8" ht="12.75">
      <c r="A1075" s="189"/>
      <c r="B1075" s="196" t="s">
        <v>1212</v>
      </c>
      <c r="C1075" s="184"/>
      <c r="D1075" s="184" t="s">
        <v>1019</v>
      </c>
      <c r="E1075" s="184"/>
      <c r="F1075" s="644">
        <v>20</v>
      </c>
      <c r="G1075" s="644"/>
      <c r="H1075" s="644">
        <v>20</v>
      </c>
    </row>
    <row r="1076" spans="1:8" ht="12.75">
      <c r="A1076" s="189"/>
      <c r="B1076" s="196"/>
      <c r="C1076" s="184"/>
      <c r="D1076" s="184"/>
      <c r="E1076" s="184" t="s">
        <v>1054</v>
      </c>
      <c r="F1076" s="644">
        <v>20</v>
      </c>
      <c r="G1076" s="644"/>
      <c r="H1076" s="644">
        <v>20</v>
      </c>
    </row>
    <row r="1077" spans="1:8" ht="12.75">
      <c r="A1077" s="189"/>
      <c r="B1077" s="196"/>
      <c r="C1077" s="184"/>
      <c r="D1077" s="184"/>
      <c r="E1077" s="184"/>
      <c r="F1077" s="644"/>
      <c r="G1077" s="644"/>
      <c r="H1077" s="644"/>
    </row>
    <row r="1078" spans="1:8" ht="12.75">
      <c r="A1078" s="189"/>
      <c r="B1078" s="196"/>
      <c r="C1078" s="184"/>
      <c r="D1078" s="184" t="s">
        <v>1090</v>
      </c>
      <c r="E1078" s="184"/>
      <c r="F1078" s="644"/>
      <c r="G1078" s="644"/>
      <c r="H1078" s="644"/>
    </row>
    <row r="1079" spans="2:8" ht="12.75">
      <c r="B1079" s="176"/>
      <c r="F1079" s="611"/>
      <c r="G1079" s="611"/>
      <c r="H1079" s="611"/>
    </row>
    <row r="1080" spans="2:8" ht="12.75">
      <c r="B1080" s="176"/>
      <c r="F1080" s="611"/>
      <c r="G1080" s="611"/>
      <c r="H1080" s="611"/>
    </row>
    <row r="1081" spans="2:8" ht="12.75">
      <c r="B1081" s="176" t="s">
        <v>89</v>
      </c>
      <c r="D1081" t="s">
        <v>821</v>
      </c>
      <c r="F1081" s="611">
        <v>11000382</v>
      </c>
      <c r="G1081" s="611"/>
      <c r="H1081" s="611"/>
    </row>
    <row r="1082" spans="2:8" ht="12.75">
      <c r="B1082" s="176"/>
      <c r="E1082" t="s">
        <v>822</v>
      </c>
      <c r="F1082" s="611"/>
      <c r="G1082" s="611"/>
      <c r="H1082" s="611">
        <v>11000382</v>
      </c>
    </row>
    <row r="1083" spans="2:9" ht="12.75">
      <c r="B1083" s="176"/>
      <c r="D1083" s="610" t="s">
        <v>823</v>
      </c>
      <c r="F1083" s="611"/>
      <c r="G1083" s="180"/>
      <c r="H1083" s="611"/>
      <c r="I1083" s="186"/>
    </row>
    <row r="1084" spans="2:8" ht="12.75">
      <c r="B1084" s="176"/>
      <c r="F1084" s="611"/>
      <c r="G1084" s="611"/>
      <c r="H1084" s="611"/>
    </row>
    <row r="1085" spans="2:8" ht="12.75">
      <c r="B1085" s="176"/>
      <c r="F1085" s="611"/>
      <c r="G1085" s="611"/>
      <c r="H1085" s="611"/>
    </row>
    <row r="1086" spans="2:8" ht="12.75">
      <c r="B1086" s="176"/>
      <c r="F1086" s="611"/>
      <c r="G1086" s="611"/>
      <c r="H1086" s="611"/>
    </row>
    <row r="1087" spans="2:8" ht="12.75">
      <c r="B1087" s="176"/>
      <c r="F1087" s="611"/>
      <c r="G1087" s="611"/>
      <c r="H1087" s="611"/>
    </row>
    <row r="1088" spans="2:9" ht="13.5" thickBot="1">
      <c r="B1088" s="176"/>
      <c r="F1088" s="654">
        <f>SUM(F9:F1087)</f>
        <v>1635406438.0280004</v>
      </c>
      <c r="G1088" s="609"/>
      <c r="H1088" s="654">
        <f>SUM(H9:H1087)</f>
        <v>1635406440.368</v>
      </c>
      <c r="I1088" s="186"/>
    </row>
    <row r="1089" ht="14.25" thickBot="1" thickTop="1"/>
    <row r="1090" spans="6:8" ht="13.5" thickBot="1">
      <c r="F1090" s="186"/>
      <c r="H1090" s="655">
        <f>+F1088-H1088</f>
        <v>-2.3399996757507324</v>
      </c>
    </row>
    <row r="1091" spans="6:8" ht="12.75">
      <c r="F1091" s="186"/>
      <c r="H1091" s="186"/>
    </row>
    <row r="1092" spans="5:8" ht="12.75" hidden="1">
      <c r="E1092" t="s">
        <v>824</v>
      </c>
      <c r="F1092" s="282">
        <f>'Con B&amp;S'!F68</f>
        <v>1616684359.458</v>
      </c>
      <c r="H1092" s="282">
        <f>'Con B&amp;S'!G68</f>
        <v>1616684359.458</v>
      </c>
    </row>
    <row r="1093" ht="12.75" hidden="1"/>
    <row r="1094" spans="5:8" ht="12.75" hidden="1">
      <c r="E1094" t="s">
        <v>1256</v>
      </c>
      <c r="F1094" s="282">
        <f>F1088-F1092</f>
        <v>18722078.57000041</v>
      </c>
      <c r="H1094" s="282">
        <f>H1088-H1092</f>
        <v>18722080.910000086</v>
      </c>
    </row>
    <row r="1095" spans="2:8" ht="12.75" hidden="1">
      <c r="B1095" s="334"/>
      <c r="C1095" s="335"/>
      <c r="D1095" s="335"/>
      <c r="E1095" s="335"/>
      <c r="H1095" s="186">
        <f>+F1094-H1094</f>
        <v>-2.3399996757507324</v>
      </c>
    </row>
    <row r="1096" spans="2:8" ht="12.75">
      <c r="B1096" s="334"/>
      <c r="C1096" s="335"/>
      <c r="D1096" s="335"/>
      <c r="E1096" s="335"/>
      <c r="F1096" s="609"/>
      <c r="G1096" s="609"/>
      <c r="H1096" s="609"/>
    </row>
    <row r="1097" spans="2:8" ht="12.75">
      <c r="B1097" s="334"/>
      <c r="C1097" s="335"/>
      <c r="D1097" s="335"/>
      <c r="E1097" s="335"/>
      <c r="F1097" s="609"/>
      <c r="G1097" s="609"/>
      <c r="H1097" s="609"/>
    </row>
    <row r="1098" spans="2:8" ht="12.75">
      <c r="B1098" s="334"/>
      <c r="C1098" s="335"/>
      <c r="D1098" s="335"/>
      <c r="E1098" s="335"/>
      <c r="F1098" s="609"/>
      <c r="G1098" s="609"/>
      <c r="H1098" s="609"/>
    </row>
    <row r="1099" spans="2:8" ht="12.75">
      <c r="B1099" s="334"/>
      <c r="C1099" s="335"/>
      <c r="D1099" s="335"/>
      <c r="E1099" s="335"/>
      <c r="F1099" s="656"/>
      <c r="G1099" s="609"/>
      <c r="H1099" s="656"/>
    </row>
    <row r="1100" spans="2:8" ht="12.75">
      <c r="B1100" s="334"/>
      <c r="C1100" s="335"/>
      <c r="D1100" s="335"/>
      <c r="E1100" s="335"/>
      <c r="F1100" s="609"/>
      <c r="G1100" s="609"/>
      <c r="H1100" s="609"/>
    </row>
    <row r="1101" spans="2:8" ht="12.75">
      <c r="B1101" s="334"/>
      <c r="C1101" s="335"/>
      <c r="D1101" s="335"/>
      <c r="E1101" s="335"/>
      <c r="F1101" s="609"/>
      <c r="G1101" s="609"/>
      <c r="H1101" s="609"/>
    </row>
    <row r="1102" spans="2:9" ht="12.75">
      <c r="B1102" s="334"/>
      <c r="C1102" s="335"/>
      <c r="D1102" s="335"/>
      <c r="E1102" s="335"/>
      <c r="F1102" s="609"/>
      <c r="G1102" s="609"/>
      <c r="H1102" s="609"/>
      <c r="I1102" s="186"/>
    </row>
    <row r="1103" spans="2:8" ht="12.75">
      <c r="B1103" s="334"/>
      <c r="C1103" s="335"/>
      <c r="D1103" s="335"/>
      <c r="E1103" s="335"/>
      <c r="F1103" s="609"/>
      <c r="G1103" s="609"/>
      <c r="H1103" s="609"/>
    </row>
    <row r="1104" spans="2:8" ht="12.75">
      <c r="B1104" s="334"/>
      <c r="C1104" s="335"/>
      <c r="D1104" s="335"/>
      <c r="E1104" s="335"/>
      <c r="F1104" s="609"/>
      <c r="G1104" s="609"/>
      <c r="H1104" s="609"/>
    </row>
    <row r="1105" spans="2:8" ht="12.75">
      <c r="B1105" s="334"/>
      <c r="C1105" s="335"/>
      <c r="D1105" s="335"/>
      <c r="E1105" s="335"/>
      <c r="F1105" s="609"/>
      <c r="G1105" s="609"/>
      <c r="H1105" s="609"/>
    </row>
    <row r="1106" spans="2:8" ht="12.75">
      <c r="B1106" s="334"/>
      <c r="C1106" s="335"/>
      <c r="D1106" s="335"/>
      <c r="E1106" s="335"/>
      <c r="F1106" s="609"/>
      <c r="G1106" s="609"/>
      <c r="H1106" s="609"/>
    </row>
    <row r="1107" spans="2:8" ht="12.75">
      <c r="B1107" s="334"/>
      <c r="C1107" s="335"/>
      <c r="D1107" s="335"/>
      <c r="E1107" s="336"/>
      <c r="F1107" s="609"/>
      <c r="G1107" s="609"/>
      <c r="H1107" s="609"/>
    </row>
    <row r="1108" spans="2:8" ht="12.75">
      <c r="B1108" s="334"/>
      <c r="C1108" s="335"/>
      <c r="D1108" s="335"/>
      <c r="E1108" s="335"/>
      <c r="F1108" s="609"/>
      <c r="G1108" s="609"/>
      <c r="H1108" s="609"/>
    </row>
    <row r="1109" spans="2:8" ht="12.75">
      <c r="B1109" s="334"/>
      <c r="C1109" s="335"/>
      <c r="D1109" s="335"/>
      <c r="E1109" s="335"/>
      <c r="F1109" s="609"/>
      <c r="G1109" s="609"/>
      <c r="H1109" s="609"/>
    </row>
    <row r="1110" spans="2:8" ht="12.75">
      <c r="B1110" s="335"/>
      <c r="C1110" s="335"/>
      <c r="D1110" s="335"/>
      <c r="E1110" s="335"/>
      <c r="F1110" s="335"/>
      <c r="G1110" s="335"/>
      <c r="H1110" s="335"/>
    </row>
    <row r="1111" spans="2:8" ht="12.75">
      <c r="B1111" s="334"/>
      <c r="C1111" s="335"/>
      <c r="D1111" s="335"/>
      <c r="E1111" s="335"/>
      <c r="F1111" s="609"/>
      <c r="G1111" s="609"/>
      <c r="H1111" s="609"/>
    </row>
    <row r="1112" spans="2:8" ht="12.75">
      <c r="B1112" s="334"/>
      <c r="C1112" s="335"/>
      <c r="D1112" s="335"/>
      <c r="E1112" s="335"/>
      <c r="F1112" s="609"/>
      <c r="G1112" s="609"/>
      <c r="H1112" s="609"/>
    </row>
    <row r="1113" spans="2:8" ht="12.75">
      <c r="B1113" s="334"/>
      <c r="C1113" s="335"/>
      <c r="D1113" s="335"/>
      <c r="E1113" s="335"/>
      <c r="F1113" s="609"/>
      <c r="G1113" s="609"/>
      <c r="H1113" s="609"/>
    </row>
    <row r="1114" spans="2:8" ht="12.75">
      <c r="B1114" s="334"/>
      <c r="C1114" s="335"/>
      <c r="D1114" s="335"/>
      <c r="E1114" s="335"/>
      <c r="F1114" s="609"/>
      <c r="G1114" s="609"/>
      <c r="H1114" s="609"/>
    </row>
  </sheetData>
  <printOptions/>
  <pageMargins left="0.75" right="0.75" top="0.25" bottom="0.25" header="0.5" footer="0.5"/>
  <pageSetup fitToHeight="1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73"/>
  <sheetViews>
    <sheetView zoomScale="75" zoomScaleNormal="75" workbookViewId="0" topLeftCell="A43">
      <selection activeCell="G63" sqref="G63"/>
    </sheetView>
  </sheetViews>
  <sheetFormatPr defaultColWidth="9.140625" defaultRowHeight="12.75"/>
  <cols>
    <col min="1" max="1" width="4.00390625" style="0" customWidth="1"/>
    <col min="2" max="2" width="5.57421875" style="204" customWidth="1"/>
    <col min="3" max="3" width="2.57421875" style="204" customWidth="1"/>
    <col min="4" max="4" width="3.421875" style="204" customWidth="1"/>
    <col min="5" max="5" width="17.7109375" style="204" customWidth="1"/>
    <col min="6" max="6" width="15.28125" style="204" customWidth="1"/>
    <col min="7" max="7" width="16.7109375" style="206" customWidth="1"/>
    <col min="8" max="8" width="20.00390625" style="206" customWidth="1"/>
    <col min="9" max="9" width="16.28125" style="206" customWidth="1"/>
    <col min="10" max="10" width="18.7109375" style="206" bestFit="1" customWidth="1"/>
    <col min="11" max="11" width="3.00390625" style="204" customWidth="1"/>
    <col min="12" max="12" width="9.421875" style="204" bestFit="1" customWidth="1"/>
    <col min="13" max="13" width="13.57421875" style="204" customWidth="1"/>
    <col min="14" max="14" width="17.421875" style="204" bestFit="1" customWidth="1"/>
    <col min="15" max="16" width="7.8515625" style="204" customWidth="1"/>
    <col min="17" max="17" width="8.8515625" style="204" customWidth="1"/>
    <col min="18" max="18" width="14.28125" style="0" bestFit="1" customWidth="1"/>
    <col min="19" max="19" width="14.57421875" style="0" bestFit="1" customWidth="1"/>
  </cols>
  <sheetData>
    <row r="3" spans="3:10" ht="30" customHeight="1">
      <c r="C3" s="548"/>
      <c r="D3" s="549"/>
      <c r="E3" s="550" t="s">
        <v>926</v>
      </c>
      <c r="F3" s="549"/>
      <c r="G3" s="551"/>
      <c r="H3" s="551"/>
      <c r="I3" s="551"/>
      <c r="J3" s="552"/>
    </row>
    <row r="5" spans="2:6" ht="15.75">
      <c r="B5" s="206"/>
      <c r="C5" s="206"/>
      <c r="D5" s="206"/>
      <c r="E5" s="206"/>
      <c r="F5" s="206"/>
    </row>
    <row r="6" spans="2:7" ht="15.75">
      <c r="B6" s="206"/>
      <c r="D6" s="206" t="s">
        <v>1241</v>
      </c>
      <c r="E6" s="206"/>
      <c r="F6" s="206"/>
      <c r="G6" s="206" t="s">
        <v>1251</v>
      </c>
    </row>
    <row r="7" spans="2:6" ht="15.75">
      <c r="B7" s="206"/>
      <c r="D7" s="206" t="s">
        <v>927</v>
      </c>
      <c r="E7" s="206"/>
      <c r="F7" s="206"/>
    </row>
    <row r="8" spans="2:7" ht="15.75">
      <c r="B8" s="206"/>
      <c r="D8" s="206" t="s">
        <v>1242</v>
      </c>
      <c r="E8" s="206"/>
      <c r="F8" s="206"/>
      <c r="G8" s="206" t="s">
        <v>1455</v>
      </c>
    </row>
    <row r="9" spans="2:7" ht="15.75">
      <c r="B9" s="206"/>
      <c r="C9" s="206" t="s">
        <v>928</v>
      </c>
      <c r="D9" s="206" t="s">
        <v>1243</v>
      </c>
      <c r="E9" s="206"/>
      <c r="F9" s="206"/>
      <c r="G9" s="207" t="s">
        <v>1248</v>
      </c>
    </row>
    <row r="10" spans="2:7" ht="15.75">
      <c r="B10" s="206"/>
      <c r="C10" s="206" t="s">
        <v>928</v>
      </c>
      <c r="D10" s="206" t="s">
        <v>1244</v>
      </c>
      <c r="E10" s="206"/>
      <c r="F10" s="206"/>
      <c r="G10" s="206" t="s">
        <v>1249</v>
      </c>
    </row>
    <row r="11" spans="2:7" ht="15.75">
      <c r="B11" s="206"/>
      <c r="C11" s="206" t="s">
        <v>929</v>
      </c>
      <c r="D11" s="206" t="s">
        <v>1245</v>
      </c>
      <c r="E11" s="206"/>
      <c r="F11" s="206"/>
      <c r="G11" s="494" t="s">
        <v>1250</v>
      </c>
    </row>
    <row r="12" spans="2:7" ht="15.75">
      <c r="B12" s="206"/>
      <c r="C12" s="206" t="s">
        <v>928</v>
      </c>
      <c r="D12" s="206" t="s">
        <v>1246</v>
      </c>
      <c r="E12" s="206"/>
      <c r="F12" s="206"/>
      <c r="G12" s="206" t="s">
        <v>1456</v>
      </c>
    </row>
    <row r="13" spans="2:7" ht="15.75">
      <c r="B13" s="206"/>
      <c r="C13" s="206" t="s">
        <v>928</v>
      </c>
      <c r="D13" s="206" t="s">
        <v>1247</v>
      </c>
      <c r="E13" s="206"/>
      <c r="F13" s="206"/>
      <c r="G13" s="206" t="s">
        <v>1457</v>
      </c>
    </row>
    <row r="14" spans="2:6" ht="15.75">
      <c r="B14" s="206"/>
      <c r="C14" s="206"/>
      <c r="D14" s="206"/>
      <c r="E14" s="206"/>
      <c r="F14" s="206"/>
    </row>
    <row r="15" spans="2:6" ht="15.75">
      <c r="B15" s="206"/>
      <c r="C15" s="206"/>
      <c r="D15" s="206"/>
      <c r="E15" s="206"/>
      <c r="F15" s="206"/>
    </row>
    <row r="16" spans="2:6" ht="15.75">
      <c r="B16" s="206"/>
      <c r="C16" s="206" t="s">
        <v>928</v>
      </c>
      <c r="D16" s="207" t="s">
        <v>930</v>
      </c>
      <c r="E16" s="206"/>
      <c r="F16" s="459" t="s">
        <v>1223</v>
      </c>
    </row>
    <row r="17" spans="2:6" ht="15.75">
      <c r="B17" s="206"/>
      <c r="C17" s="206"/>
      <c r="D17" s="207"/>
      <c r="E17" s="206"/>
      <c r="F17" s="206"/>
    </row>
    <row r="18" spans="2:10" ht="15.75">
      <c r="B18" s="206"/>
      <c r="C18" s="206" t="s">
        <v>928</v>
      </c>
      <c r="D18" s="207" t="s">
        <v>931</v>
      </c>
      <c r="E18" s="206"/>
      <c r="F18" s="473" t="s">
        <v>942</v>
      </c>
      <c r="G18" s="468" t="s">
        <v>953</v>
      </c>
      <c r="H18" s="468" t="s">
        <v>954</v>
      </c>
      <c r="I18" s="468" t="s">
        <v>955</v>
      </c>
      <c r="J18" s="460" t="s">
        <v>956</v>
      </c>
    </row>
    <row r="19" spans="2:7" ht="15.75">
      <c r="B19" s="206"/>
      <c r="C19" s="206"/>
      <c r="D19" s="207"/>
      <c r="E19" s="206"/>
      <c r="F19" s="458"/>
      <c r="G19" s="458"/>
    </row>
    <row r="20" spans="2:7" ht="15.75">
      <c r="B20" s="206"/>
      <c r="C20" s="206"/>
      <c r="D20" s="207"/>
      <c r="E20" s="206" t="s">
        <v>932</v>
      </c>
      <c r="F20" s="458"/>
      <c r="G20" s="458"/>
    </row>
    <row r="21" spans="2:7" ht="15.75">
      <c r="B21" s="206"/>
      <c r="C21" s="206"/>
      <c r="D21" s="207"/>
      <c r="E21" s="206"/>
      <c r="F21" s="458" t="s">
        <v>1224</v>
      </c>
      <c r="G21" s="458"/>
    </row>
    <row r="22" spans="2:9" ht="15.75">
      <c r="B22" s="206"/>
      <c r="C22" s="206"/>
      <c r="D22" s="207"/>
      <c r="E22" s="206" t="s">
        <v>957</v>
      </c>
      <c r="F22" s="206" t="s">
        <v>958</v>
      </c>
      <c r="G22" s="470"/>
      <c r="H22" s="474" t="s">
        <v>959</v>
      </c>
      <c r="I22" s="474"/>
    </row>
    <row r="23" spans="2:6" ht="15.75">
      <c r="B23" s="206"/>
      <c r="C23" s="206"/>
      <c r="D23" s="206"/>
      <c r="E23" s="206"/>
      <c r="F23" s="206"/>
    </row>
    <row r="24" spans="2:14" ht="15.75">
      <c r="B24" s="207" t="s">
        <v>503</v>
      </c>
      <c r="C24" s="206"/>
      <c r="D24" s="206"/>
      <c r="E24" s="206"/>
      <c r="F24" s="206"/>
      <c r="M24" s="559" t="s">
        <v>625</v>
      </c>
      <c r="N24" s="559"/>
    </row>
    <row r="25" spans="2:14" ht="15.75">
      <c r="B25" s="206"/>
      <c r="C25" s="206"/>
      <c r="D25" s="206"/>
      <c r="E25" s="206"/>
      <c r="F25" s="206"/>
      <c r="M25" s="559" t="s">
        <v>626</v>
      </c>
      <c r="N25" s="559"/>
    </row>
    <row r="26" spans="2:14" ht="15.75">
      <c r="B26" s="450"/>
      <c r="C26" s="444"/>
      <c r="D26" s="444"/>
      <c r="E26" s="444"/>
      <c r="F26" s="444"/>
      <c r="G26" s="728" t="s">
        <v>1260</v>
      </c>
      <c r="H26" s="729"/>
      <c r="I26" s="730" t="s">
        <v>1265</v>
      </c>
      <c r="J26" s="731"/>
      <c r="M26" s="562" t="s">
        <v>779</v>
      </c>
      <c r="N26" s="562" t="s">
        <v>1263</v>
      </c>
    </row>
    <row r="27" spans="2:14" ht="12.75">
      <c r="B27" s="452"/>
      <c r="C27" s="181"/>
      <c r="D27" s="181"/>
      <c r="E27" s="181"/>
      <c r="F27" s="181"/>
      <c r="G27" s="513" t="s">
        <v>1261</v>
      </c>
      <c r="H27" s="513" t="s">
        <v>1263</v>
      </c>
      <c r="I27" s="514" t="s">
        <v>1261</v>
      </c>
      <c r="J27" s="514" t="s">
        <v>1263</v>
      </c>
      <c r="M27" s="560" t="s">
        <v>777</v>
      </c>
      <c r="N27" s="560" t="s">
        <v>1264</v>
      </c>
    </row>
    <row r="28" spans="2:14" ht="12.75">
      <c r="B28" s="452"/>
      <c r="C28" s="181"/>
      <c r="D28" s="181"/>
      <c r="E28" s="181"/>
      <c r="F28" s="181"/>
      <c r="G28" s="515" t="s">
        <v>1225</v>
      </c>
      <c r="H28" s="515" t="s">
        <v>1264</v>
      </c>
      <c r="I28" s="516" t="s">
        <v>1266</v>
      </c>
      <c r="J28" s="516" t="s">
        <v>1264</v>
      </c>
      <c r="M28" s="560" t="s">
        <v>778</v>
      </c>
      <c r="N28" s="560" t="s">
        <v>780</v>
      </c>
    </row>
    <row r="29" spans="2:14" ht="12.75">
      <c r="B29" s="452"/>
      <c r="C29" s="181"/>
      <c r="D29" s="181"/>
      <c r="E29" s="181"/>
      <c r="F29" s="181"/>
      <c r="G29" s="517"/>
      <c r="H29" s="515" t="s">
        <v>1262</v>
      </c>
      <c r="I29" s="518"/>
      <c r="J29" s="516" t="s">
        <v>1267</v>
      </c>
      <c r="M29" s="560" t="s">
        <v>1262</v>
      </c>
      <c r="N29" s="560" t="s">
        <v>781</v>
      </c>
    </row>
    <row r="30" spans="2:14" ht="12.75">
      <c r="B30" s="452"/>
      <c r="C30" s="181"/>
      <c r="D30" s="181"/>
      <c r="E30" s="181"/>
      <c r="F30" s="181"/>
      <c r="G30" s="517"/>
      <c r="H30" s="515"/>
      <c r="I30" s="518"/>
      <c r="J30" s="516"/>
      <c r="M30" s="561"/>
      <c r="N30" s="561"/>
    </row>
    <row r="31" spans="2:14" ht="12.75">
      <c r="B31" s="452"/>
      <c r="C31" s="181"/>
      <c r="D31" s="181"/>
      <c r="E31" s="181"/>
      <c r="F31" s="181"/>
      <c r="G31" s="517"/>
      <c r="H31" s="515"/>
      <c r="I31" s="518"/>
      <c r="J31" s="516"/>
      <c r="M31" s="561"/>
      <c r="N31" s="561"/>
    </row>
    <row r="32" spans="2:14" ht="12.75">
      <c r="B32" s="452"/>
      <c r="C32" s="181"/>
      <c r="D32" s="181"/>
      <c r="E32" s="181"/>
      <c r="F32" s="181"/>
      <c r="G32" s="519">
        <v>36799</v>
      </c>
      <c r="H32" s="519">
        <v>36433</v>
      </c>
      <c r="I32" s="520">
        <f>+G32</f>
        <v>36799</v>
      </c>
      <c r="J32" s="520">
        <f>+H32</f>
        <v>36433</v>
      </c>
      <c r="M32" s="519"/>
      <c r="N32" s="519"/>
    </row>
    <row r="33" spans="2:14" ht="12.75">
      <c r="B33" s="445"/>
      <c r="C33" s="181"/>
      <c r="D33" s="181"/>
      <c r="E33" s="181"/>
      <c r="F33" s="181"/>
      <c r="G33" s="521" t="s">
        <v>447</v>
      </c>
      <c r="H33" s="521" t="s">
        <v>447</v>
      </c>
      <c r="I33" s="522" t="s">
        <v>447</v>
      </c>
      <c r="J33" s="522" t="s">
        <v>447</v>
      </c>
      <c r="M33" s="521"/>
      <c r="N33" s="521"/>
    </row>
    <row r="34" spans="2:14" ht="12.75">
      <c r="B34" s="450"/>
      <c r="C34" s="444"/>
      <c r="D34" s="451"/>
      <c r="E34" s="444"/>
      <c r="F34" s="444"/>
      <c r="G34" s="475"/>
      <c r="H34" s="475"/>
      <c r="I34" s="495"/>
      <c r="J34" s="495"/>
      <c r="M34" s="475"/>
      <c r="N34" s="475"/>
    </row>
    <row r="35" spans="2:14" ht="12.75">
      <c r="B35" s="466" t="s">
        <v>1153</v>
      </c>
      <c r="C35" s="441" t="s">
        <v>1154</v>
      </c>
      <c r="D35" s="457"/>
      <c r="E35" s="441" t="s">
        <v>1155</v>
      </c>
      <c r="F35" s="441"/>
      <c r="G35" s="476">
        <f>I35-M35</f>
        <v>8714.66441</v>
      </c>
      <c r="H35" s="600">
        <v>9393</v>
      </c>
      <c r="I35" s="496">
        <f>'Con P&amp;L'!I8/1000</f>
        <v>8714.66441</v>
      </c>
      <c r="J35" s="496">
        <v>9393</v>
      </c>
      <c r="M35" s="476"/>
      <c r="N35" s="476"/>
    </row>
    <row r="36" spans="2:14" ht="12.75">
      <c r="B36" s="445"/>
      <c r="C36" s="446"/>
      <c r="D36" s="462"/>
      <c r="E36" s="446"/>
      <c r="F36" s="446"/>
      <c r="G36" s="477"/>
      <c r="H36" s="477"/>
      <c r="I36" s="497"/>
      <c r="J36" s="497"/>
      <c r="M36" s="477"/>
      <c r="N36" s="477"/>
    </row>
    <row r="37" spans="2:19" ht="12.75">
      <c r="B37" s="445"/>
      <c r="C37" s="447" t="s">
        <v>1156</v>
      </c>
      <c r="D37" s="462"/>
      <c r="E37" s="447" t="s">
        <v>1258</v>
      </c>
      <c r="F37" s="447"/>
      <c r="G37" s="476">
        <f>H37-M37</f>
        <v>0</v>
      </c>
      <c r="H37" s="476">
        <v>0</v>
      </c>
      <c r="I37" s="497">
        <v>0</v>
      </c>
      <c r="J37" s="497">
        <v>0</v>
      </c>
      <c r="M37" s="477"/>
      <c r="N37" s="477"/>
      <c r="R37" t="s">
        <v>285</v>
      </c>
      <c r="S37" t="s">
        <v>286</v>
      </c>
    </row>
    <row r="38" spans="2:19" ht="12.75">
      <c r="B38" s="450"/>
      <c r="C38" s="444" t="s">
        <v>1158</v>
      </c>
      <c r="D38" s="451"/>
      <c r="E38" s="444" t="s">
        <v>1259</v>
      </c>
      <c r="F38" s="444"/>
      <c r="G38" s="480">
        <f>I38-M38</f>
        <v>509.48841000000004</v>
      </c>
      <c r="H38" s="480">
        <v>221</v>
      </c>
      <c r="I38" s="498">
        <f>'Con P&amp;L'!I81/1000</f>
        <v>509.48841000000004</v>
      </c>
      <c r="J38" s="498">
        <v>221</v>
      </c>
      <c r="M38" s="478"/>
      <c r="N38" s="478"/>
      <c r="R38" s="176" t="s">
        <v>287</v>
      </c>
      <c r="S38" s="176" t="s">
        <v>287</v>
      </c>
    </row>
    <row r="39" spans="2:14" ht="12.75">
      <c r="B39" s="443" t="s">
        <v>1157</v>
      </c>
      <c r="C39" s="444" t="s">
        <v>1154</v>
      </c>
      <c r="D39" s="451"/>
      <c r="E39" s="444" t="s">
        <v>1268</v>
      </c>
      <c r="F39" s="444"/>
      <c r="G39" s="478"/>
      <c r="H39" s="478"/>
      <c r="I39" s="498"/>
      <c r="J39" s="498"/>
      <c r="M39" s="478"/>
      <c r="N39" s="478"/>
    </row>
    <row r="40" spans="2:19" ht="12.75">
      <c r="B40" s="452"/>
      <c r="C40" s="441"/>
      <c r="D40" s="457"/>
      <c r="E40" s="441" t="s">
        <v>1269</v>
      </c>
      <c r="F40" s="441"/>
      <c r="G40" s="476"/>
      <c r="H40" s="476"/>
      <c r="I40" s="496"/>
      <c r="J40" s="496"/>
      <c r="M40" s="476"/>
      <c r="N40" s="476"/>
      <c r="R40" s="180">
        <v>4416</v>
      </c>
      <c r="S40" s="180">
        <f>+R40/2</f>
        <v>2208</v>
      </c>
    </row>
    <row r="41" spans="2:19" ht="12.75">
      <c r="B41" s="452"/>
      <c r="C41" s="441"/>
      <c r="D41" s="457"/>
      <c r="E41" s="441" t="s">
        <v>1270</v>
      </c>
      <c r="F41" s="441"/>
      <c r="G41" s="476"/>
      <c r="H41" s="476"/>
      <c r="I41" s="496"/>
      <c r="J41" s="496"/>
      <c r="M41" s="476"/>
      <c r="N41" s="476"/>
      <c r="Q41" s="204" t="s">
        <v>282</v>
      </c>
      <c r="R41" s="180">
        <v>29473</v>
      </c>
      <c r="S41" s="180">
        <f aca="true" t="shared" si="0" ref="S41:S46">+R41/2</f>
        <v>14736.5</v>
      </c>
    </row>
    <row r="42" spans="2:19" ht="12.75">
      <c r="B42" s="452"/>
      <c r="C42" s="441"/>
      <c r="D42" s="457"/>
      <c r="E42" s="442" t="s">
        <v>1271</v>
      </c>
      <c r="F42" s="442"/>
      <c r="G42" s="476"/>
      <c r="H42" s="476"/>
      <c r="I42" s="496"/>
      <c r="J42" s="496"/>
      <c r="M42" s="479"/>
      <c r="N42" s="476"/>
      <c r="Q42" s="204" t="s">
        <v>281</v>
      </c>
      <c r="R42" s="180">
        <v>1363</v>
      </c>
      <c r="S42" s="180">
        <f t="shared" si="0"/>
        <v>681.5</v>
      </c>
    </row>
    <row r="43" spans="2:19" ht="12.75">
      <c r="B43" s="445"/>
      <c r="C43" s="447"/>
      <c r="D43" s="462"/>
      <c r="E43" s="447" t="s">
        <v>1356</v>
      </c>
      <c r="F43" s="447"/>
      <c r="G43" s="477">
        <f>I43-M43</f>
        <v>-16962.1646</v>
      </c>
      <c r="H43" s="477">
        <v>4242</v>
      </c>
      <c r="I43" s="497">
        <f>'Con P&amp;L'!I101/1000</f>
        <v>-16962.1646</v>
      </c>
      <c r="J43" s="497">
        <v>4242</v>
      </c>
      <c r="M43" s="477"/>
      <c r="N43" s="477"/>
      <c r="R43" s="180">
        <f>+R40-R41-R42</f>
        <v>-26420</v>
      </c>
      <c r="S43" s="180">
        <f>+S40-S41-S42</f>
        <v>-13210</v>
      </c>
    </row>
    <row r="44" spans="2:19" ht="12.75">
      <c r="B44" s="445"/>
      <c r="C44" s="447" t="s">
        <v>1156</v>
      </c>
      <c r="D44" s="462"/>
      <c r="E44" s="447" t="s">
        <v>1357</v>
      </c>
      <c r="F44" s="447"/>
      <c r="G44" s="480">
        <f>I44-M44</f>
        <v>-9477.54024</v>
      </c>
      <c r="H44" s="480">
        <v>-13773</v>
      </c>
      <c r="I44" s="497">
        <f>-'Con P&amp;L'!I103/1000</f>
        <v>-9477.54024</v>
      </c>
      <c r="J44" s="497">
        <v>-13773</v>
      </c>
      <c r="L44" s="528"/>
      <c r="M44" s="477"/>
      <c r="N44" s="477"/>
      <c r="O44" s="528"/>
      <c r="P44" s="528"/>
      <c r="Q44" s="204" t="s">
        <v>280</v>
      </c>
      <c r="R44" s="180">
        <v>1954</v>
      </c>
      <c r="S44" s="180">
        <f t="shared" si="0"/>
        <v>977</v>
      </c>
    </row>
    <row r="45" spans="2:19" ht="12.75">
      <c r="B45" s="445"/>
      <c r="C45" s="449" t="s">
        <v>1158</v>
      </c>
      <c r="D45" s="462"/>
      <c r="E45" s="447" t="s">
        <v>1358</v>
      </c>
      <c r="F45" s="447"/>
      <c r="G45" s="480">
        <f>I45-M45</f>
        <v>-353.841</v>
      </c>
      <c r="H45" s="480">
        <v>-658</v>
      </c>
      <c r="I45" s="497">
        <f>-'Con P&amp;L'!I106/1000</f>
        <v>-353.841</v>
      </c>
      <c r="J45" s="497">
        <v>-658</v>
      </c>
      <c r="L45" s="528"/>
      <c r="M45" s="477"/>
      <c r="N45" s="477"/>
      <c r="O45" s="528"/>
      <c r="P45" s="528"/>
      <c r="R45" s="180">
        <f>+R43-R44</f>
        <v>-28374</v>
      </c>
      <c r="S45" s="180">
        <f>+S43-S44</f>
        <v>-14187</v>
      </c>
    </row>
    <row r="46" spans="2:19" ht="12.75">
      <c r="B46" s="445"/>
      <c r="C46" s="447" t="s">
        <v>1159</v>
      </c>
      <c r="D46" s="462"/>
      <c r="E46" s="447" t="s">
        <v>1359</v>
      </c>
      <c r="F46" s="447"/>
      <c r="G46" s="480">
        <f>I46-M46</f>
        <v>0</v>
      </c>
      <c r="H46" s="480">
        <v>385</v>
      </c>
      <c r="I46" s="497">
        <f>'Con P&amp;L'!I20/1000</f>
        <v>0</v>
      </c>
      <c r="J46" s="497">
        <v>385</v>
      </c>
      <c r="L46" s="528"/>
      <c r="M46" s="477"/>
      <c r="N46" s="477"/>
      <c r="O46" s="528"/>
      <c r="P46" s="528"/>
      <c r="Q46" s="204" t="s">
        <v>283</v>
      </c>
      <c r="R46" s="180">
        <v>-214</v>
      </c>
      <c r="S46" s="180">
        <f t="shared" si="0"/>
        <v>-107</v>
      </c>
    </row>
    <row r="47" spans="2:19" ht="12.75">
      <c r="B47" s="452"/>
      <c r="C47" s="441" t="s">
        <v>1163</v>
      </c>
      <c r="D47" s="457"/>
      <c r="E47" s="441" t="s">
        <v>908</v>
      </c>
      <c r="F47" s="441"/>
      <c r="G47" s="476"/>
      <c r="H47" s="476"/>
      <c r="I47" s="496"/>
      <c r="J47" s="496"/>
      <c r="M47" s="476"/>
      <c r="N47" s="476"/>
      <c r="R47" s="180">
        <f>+R45-R46</f>
        <v>-28160</v>
      </c>
      <c r="S47" s="180">
        <f>+S45-S46</f>
        <v>-14080</v>
      </c>
    </row>
    <row r="48" spans="2:14" ht="12.75">
      <c r="B48" s="452"/>
      <c r="C48" s="441"/>
      <c r="D48" s="457"/>
      <c r="E48" s="441" t="s">
        <v>909</v>
      </c>
      <c r="F48" s="441"/>
      <c r="G48" s="476"/>
      <c r="H48" s="476"/>
      <c r="I48" s="496"/>
      <c r="J48" s="496"/>
      <c r="M48" s="476"/>
      <c r="N48" s="476"/>
    </row>
    <row r="49" spans="2:14" ht="12.75">
      <c r="B49" s="452"/>
      <c r="C49" s="441"/>
      <c r="D49" s="457"/>
      <c r="E49" s="441" t="s">
        <v>910</v>
      </c>
      <c r="F49" s="441"/>
      <c r="G49" s="476"/>
      <c r="H49" s="476"/>
      <c r="I49" s="496"/>
      <c r="J49" s="496"/>
      <c r="M49" s="476"/>
      <c r="N49" s="476"/>
    </row>
    <row r="50" spans="2:19" ht="12.75">
      <c r="B50" s="452"/>
      <c r="C50" s="441"/>
      <c r="D50" s="457"/>
      <c r="E50" s="441" t="s">
        <v>911</v>
      </c>
      <c r="F50" s="441"/>
      <c r="G50" s="476"/>
      <c r="H50" s="476"/>
      <c r="I50" s="496"/>
      <c r="J50" s="496"/>
      <c r="M50" s="476"/>
      <c r="N50" s="476"/>
      <c r="Q50" t="s">
        <v>284</v>
      </c>
      <c r="R50" s="180">
        <v>202780</v>
      </c>
      <c r="S50" s="186">
        <f>+R50-S47</f>
        <v>216860</v>
      </c>
    </row>
    <row r="51" spans="2:14" ht="12.75">
      <c r="B51" s="452"/>
      <c r="C51" s="441"/>
      <c r="D51" s="457"/>
      <c r="E51" s="441" t="s">
        <v>912</v>
      </c>
      <c r="F51" s="441"/>
      <c r="G51" s="476"/>
      <c r="H51" s="476"/>
      <c r="I51" s="496"/>
      <c r="J51" s="496"/>
      <c r="M51" s="476"/>
      <c r="N51" s="476"/>
    </row>
    <row r="52" spans="2:19" ht="12.75">
      <c r="B52" s="452"/>
      <c r="C52" s="441"/>
      <c r="D52" s="457"/>
      <c r="E52" s="441" t="s">
        <v>913</v>
      </c>
      <c r="F52" s="441"/>
      <c r="G52" s="476"/>
      <c r="H52" s="476"/>
      <c r="I52" s="496"/>
      <c r="J52" s="496"/>
      <c r="M52" s="476"/>
      <c r="N52" s="476"/>
      <c r="Q52" s="204" t="s">
        <v>288</v>
      </c>
      <c r="R52" s="313">
        <f>+R50/188275</f>
        <v>1.0770415615456115</v>
      </c>
      <c r="S52" s="313">
        <f>+S50/188275</f>
        <v>1.1518257867481079</v>
      </c>
    </row>
    <row r="53" spans="2:14" ht="12.75">
      <c r="B53" s="452"/>
      <c r="C53" s="441"/>
      <c r="D53" s="457"/>
      <c r="E53" s="441" t="s">
        <v>914</v>
      </c>
      <c r="F53" s="441"/>
      <c r="G53" s="476">
        <f>(+G43+G44+G45+G46)</f>
        <v>-26793.54584</v>
      </c>
      <c r="H53" s="476">
        <f>(+H43+H44+H45+H46)</f>
        <v>-9804</v>
      </c>
      <c r="I53" s="496">
        <f>(+I43+I44+I45+I46)</f>
        <v>-26793.54584</v>
      </c>
      <c r="J53" s="496">
        <f>(+J43+J44+J45+J46)</f>
        <v>-9804</v>
      </c>
      <c r="M53" s="476"/>
      <c r="N53" s="476"/>
    </row>
    <row r="54" spans="2:16" ht="12.75">
      <c r="B54" s="450"/>
      <c r="C54" s="444" t="s">
        <v>1166</v>
      </c>
      <c r="D54" s="451"/>
      <c r="E54" s="444" t="s">
        <v>915</v>
      </c>
      <c r="F54" s="444"/>
      <c r="G54" s="478"/>
      <c r="H54" s="478"/>
      <c r="I54" s="498"/>
      <c r="J54" s="498"/>
      <c r="L54" s="528"/>
      <c r="M54" s="478"/>
      <c r="N54" s="478"/>
      <c r="O54" s="528"/>
      <c r="P54" s="528"/>
    </row>
    <row r="55" spans="2:14" ht="12.75">
      <c r="B55" s="452"/>
      <c r="C55" s="441"/>
      <c r="D55" s="457"/>
      <c r="E55" s="441" t="s">
        <v>916</v>
      </c>
      <c r="F55" s="441"/>
      <c r="G55" s="476">
        <f>I55-M55</f>
        <v>0</v>
      </c>
      <c r="H55" s="476">
        <v>275</v>
      </c>
      <c r="I55" s="496">
        <f>'Con P&amp;L'!I17/1000</f>
        <v>0</v>
      </c>
      <c r="J55" s="496">
        <v>275</v>
      </c>
      <c r="M55" s="476"/>
      <c r="N55" s="476"/>
    </row>
    <row r="56" spans="2:14" ht="12.75">
      <c r="B56" s="450"/>
      <c r="C56" s="444" t="s">
        <v>1169</v>
      </c>
      <c r="D56" s="451"/>
      <c r="E56" s="444" t="s">
        <v>458</v>
      </c>
      <c r="F56" s="444"/>
      <c r="G56" s="478"/>
      <c r="H56" s="478"/>
      <c r="I56" s="498"/>
      <c r="J56" s="498"/>
      <c r="M56" s="478"/>
      <c r="N56" s="478"/>
    </row>
    <row r="57" spans="2:14" ht="12.75">
      <c r="B57" s="452"/>
      <c r="C57" s="441"/>
      <c r="D57" s="457"/>
      <c r="E57" s="441" t="s">
        <v>459</v>
      </c>
      <c r="F57" s="441"/>
      <c r="G57" s="476">
        <f>+G53+G55</f>
        <v>-26793.54584</v>
      </c>
      <c r="H57" s="476">
        <f>+H53+H55</f>
        <v>-9529</v>
      </c>
      <c r="I57" s="496">
        <f>+I53+I55</f>
        <v>-26793.54584</v>
      </c>
      <c r="J57" s="496">
        <f>+J53+J55</f>
        <v>-9529</v>
      </c>
      <c r="M57" s="476"/>
      <c r="N57" s="476"/>
    </row>
    <row r="58" spans="2:14" ht="12.75">
      <c r="B58" s="445"/>
      <c r="C58" s="447"/>
      <c r="D58" s="462"/>
      <c r="E58" s="447" t="s">
        <v>919</v>
      </c>
      <c r="F58" s="447"/>
      <c r="G58" s="477"/>
      <c r="H58" s="477"/>
      <c r="I58" s="497"/>
      <c r="J58" s="497"/>
      <c r="M58" s="477"/>
      <c r="N58" s="477"/>
    </row>
    <row r="59" spans="2:14" ht="12.75">
      <c r="B59" s="450"/>
      <c r="C59" s="444" t="s">
        <v>918</v>
      </c>
      <c r="D59" s="451"/>
      <c r="E59" s="444" t="s">
        <v>125</v>
      </c>
      <c r="F59" s="444"/>
      <c r="G59" s="476">
        <f>I59-M59</f>
        <v>-375.569152</v>
      </c>
      <c r="H59" s="476">
        <v>-431</v>
      </c>
      <c r="I59" s="498">
        <f>-'Con P&amp;L'!I23/1000</f>
        <v>-375.569152</v>
      </c>
      <c r="J59" s="498">
        <v>-431</v>
      </c>
      <c r="M59" s="478"/>
      <c r="N59" s="478"/>
    </row>
    <row r="60" spans="2:14" ht="12.75">
      <c r="B60" s="450"/>
      <c r="C60" s="444" t="s">
        <v>1160</v>
      </c>
      <c r="D60" s="451" t="s">
        <v>1160</v>
      </c>
      <c r="E60" s="444" t="s">
        <v>920</v>
      </c>
      <c r="F60" s="444"/>
      <c r="G60" s="478"/>
      <c r="H60" s="478"/>
      <c r="I60" s="498"/>
      <c r="J60" s="498"/>
      <c r="M60" s="478"/>
      <c r="N60" s="478"/>
    </row>
    <row r="61" spans="2:14" ht="12.75">
      <c r="B61" s="452"/>
      <c r="C61" s="441"/>
      <c r="D61" s="457"/>
      <c r="E61" s="441" t="s">
        <v>917</v>
      </c>
      <c r="F61" s="441"/>
      <c r="G61" s="476">
        <f>+G57+G59</f>
        <v>-27169.114992</v>
      </c>
      <c r="H61" s="476">
        <f>+H57+H59</f>
        <v>-9960</v>
      </c>
      <c r="I61" s="496">
        <f>+I57+I59</f>
        <v>-27169.114992</v>
      </c>
      <c r="J61" s="496">
        <f>+J57+J59</f>
        <v>-9960</v>
      </c>
      <c r="M61" s="476"/>
      <c r="N61" s="476"/>
    </row>
    <row r="62" spans="2:14" ht="12.75">
      <c r="B62" s="445"/>
      <c r="C62" s="447"/>
      <c r="D62" s="462" t="s">
        <v>1161</v>
      </c>
      <c r="E62" s="447" t="s">
        <v>1162</v>
      </c>
      <c r="F62" s="447"/>
      <c r="G62" s="477"/>
      <c r="H62" s="477"/>
      <c r="I62" s="497">
        <f>'Con P&amp;L'!I26/1000</f>
        <v>0</v>
      </c>
      <c r="J62" s="497"/>
      <c r="M62" s="477"/>
      <c r="N62" s="477"/>
    </row>
    <row r="63" spans="2:14" ht="12.75">
      <c r="B63" s="450"/>
      <c r="C63" s="444" t="s">
        <v>921</v>
      </c>
      <c r="D63" s="451"/>
      <c r="E63" s="444" t="s">
        <v>920</v>
      </c>
      <c r="F63" s="444"/>
      <c r="G63" s="478"/>
      <c r="H63" s="478"/>
      <c r="I63" s="498"/>
      <c r="J63" s="498"/>
      <c r="M63" s="478"/>
      <c r="N63" s="478"/>
    </row>
    <row r="64" spans="2:14" ht="12.75">
      <c r="B64" s="452"/>
      <c r="C64" s="441"/>
      <c r="D64" s="457"/>
      <c r="E64" s="441" t="s">
        <v>1164</v>
      </c>
      <c r="F64" s="441"/>
      <c r="G64" s="476"/>
      <c r="H64" s="476"/>
      <c r="I64" s="496"/>
      <c r="J64" s="496"/>
      <c r="M64" s="476"/>
      <c r="N64" s="476"/>
    </row>
    <row r="65" spans="2:17" s="335" customFormat="1" ht="12.75">
      <c r="B65" s="445"/>
      <c r="C65" s="447"/>
      <c r="D65" s="462"/>
      <c r="E65" s="447" t="s">
        <v>1165</v>
      </c>
      <c r="F65" s="447"/>
      <c r="G65" s="477">
        <f>G61-G62</f>
        <v>-27169.114992</v>
      </c>
      <c r="H65" s="477">
        <f>H61-H62</f>
        <v>-9960</v>
      </c>
      <c r="I65" s="497">
        <f>I61-I62</f>
        <v>-27169.114992</v>
      </c>
      <c r="J65" s="497">
        <f>J61-J62</f>
        <v>-9960</v>
      </c>
      <c r="K65" s="442"/>
      <c r="L65" s="442"/>
      <c r="M65" s="477"/>
      <c r="N65" s="477"/>
      <c r="O65" s="442"/>
      <c r="P65" s="442"/>
      <c r="Q65" s="442"/>
    </row>
    <row r="66" spans="2:14" ht="12.75">
      <c r="B66" s="448"/>
      <c r="C66" s="449" t="s">
        <v>922</v>
      </c>
      <c r="D66" s="465" t="s">
        <v>1160</v>
      </c>
      <c r="E66" s="449" t="s">
        <v>130</v>
      </c>
      <c r="F66" s="449"/>
      <c r="G66" s="480"/>
      <c r="H66" s="480">
        <v>0</v>
      </c>
      <c r="I66" s="499">
        <f>'Con P&amp;L'!I29</f>
        <v>0</v>
      </c>
      <c r="J66" s="499">
        <v>0</v>
      </c>
      <c r="M66" s="480"/>
      <c r="N66" s="480"/>
    </row>
    <row r="67" spans="2:14" ht="12.75">
      <c r="B67" s="448"/>
      <c r="C67" s="449"/>
      <c r="D67" s="465" t="s">
        <v>1161</v>
      </c>
      <c r="E67" s="469" t="s">
        <v>1162</v>
      </c>
      <c r="F67" s="469"/>
      <c r="G67" s="481"/>
      <c r="H67" s="481">
        <v>0</v>
      </c>
      <c r="I67" s="500">
        <f>'Con P&amp;L'!I26</f>
        <v>0</v>
      </c>
      <c r="J67" s="500">
        <v>0</v>
      </c>
      <c r="M67" s="480"/>
      <c r="N67" s="481"/>
    </row>
    <row r="68" spans="2:14" ht="12.75">
      <c r="B68" s="450"/>
      <c r="C68" s="444"/>
      <c r="D68" s="451" t="s">
        <v>1167</v>
      </c>
      <c r="E68" s="444" t="s">
        <v>1116</v>
      </c>
      <c r="F68" s="444"/>
      <c r="G68" s="478"/>
      <c r="H68" s="478"/>
      <c r="I68" s="498"/>
      <c r="J68" s="498"/>
      <c r="M68" s="478"/>
      <c r="N68" s="478"/>
    </row>
    <row r="69" spans="2:14" ht="12.75">
      <c r="B69" s="445"/>
      <c r="C69" s="447"/>
      <c r="D69" s="462"/>
      <c r="E69" s="447" t="s">
        <v>1168</v>
      </c>
      <c r="F69" s="447"/>
      <c r="G69" s="477"/>
      <c r="H69" s="477">
        <v>0</v>
      </c>
      <c r="I69" s="497"/>
      <c r="J69" s="497">
        <v>0</v>
      </c>
      <c r="M69" s="477"/>
      <c r="N69" s="477"/>
    </row>
    <row r="70" spans="2:14" ht="12.75">
      <c r="B70" s="450"/>
      <c r="C70" s="444" t="s">
        <v>923</v>
      </c>
      <c r="D70" s="451"/>
      <c r="E70" s="455" t="s">
        <v>924</v>
      </c>
      <c r="F70" s="455"/>
      <c r="G70" s="478"/>
      <c r="H70" s="478"/>
      <c r="I70" s="498"/>
      <c r="J70" s="498"/>
      <c r="M70" s="478"/>
      <c r="N70" s="478"/>
    </row>
    <row r="71" spans="2:14" ht="12.75">
      <c r="B71" s="452"/>
      <c r="C71" s="441"/>
      <c r="D71" s="457"/>
      <c r="E71" s="456" t="s">
        <v>919</v>
      </c>
      <c r="F71" s="456"/>
      <c r="G71" s="476"/>
      <c r="H71" s="476"/>
      <c r="I71" s="496"/>
      <c r="J71" s="496"/>
      <c r="M71" s="476"/>
      <c r="N71" s="476"/>
    </row>
    <row r="72" spans="2:14" ht="12.75">
      <c r="B72" s="445"/>
      <c r="C72" s="447"/>
      <c r="D72" s="462"/>
      <c r="E72" s="447" t="s">
        <v>925</v>
      </c>
      <c r="F72" s="447"/>
      <c r="G72" s="477">
        <f>G65+G66+G67</f>
        <v>-27169.114992</v>
      </c>
      <c r="H72" s="477">
        <f>H65+H66+H67</f>
        <v>-9960</v>
      </c>
      <c r="I72" s="497">
        <f>I65+I66</f>
        <v>-27169.114992</v>
      </c>
      <c r="J72" s="497">
        <f>J65+J66+J67</f>
        <v>-9960</v>
      </c>
      <c r="M72" s="477"/>
      <c r="N72" s="477"/>
    </row>
    <row r="73" spans="2:14" ht="12.75">
      <c r="B73" s="443" t="s">
        <v>1170</v>
      </c>
      <c r="C73" s="453" t="s">
        <v>1154</v>
      </c>
      <c r="D73" s="451"/>
      <c r="E73" s="444" t="s">
        <v>933</v>
      </c>
      <c r="F73" s="444"/>
      <c r="G73" s="482"/>
      <c r="H73" s="482"/>
      <c r="I73" s="501"/>
      <c r="J73" s="501"/>
      <c r="M73" s="482"/>
      <c r="N73" s="482"/>
    </row>
    <row r="74" spans="2:14" ht="12.75">
      <c r="B74" s="466"/>
      <c r="C74" s="442"/>
      <c r="D74" s="457"/>
      <c r="E74" s="441" t="s">
        <v>934</v>
      </c>
      <c r="F74" s="441"/>
      <c r="G74" s="476"/>
      <c r="H74" s="476"/>
      <c r="I74" s="502"/>
      <c r="J74" s="502"/>
      <c r="M74" s="476"/>
      <c r="N74" s="476"/>
    </row>
    <row r="75" spans="2:14" ht="12.75">
      <c r="B75" s="466"/>
      <c r="C75" s="442"/>
      <c r="D75" s="457"/>
      <c r="E75" s="441" t="s">
        <v>935</v>
      </c>
      <c r="F75" s="441"/>
      <c r="G75" s="483"/>
      <c r="H75" s="483"/>
      <c r="I75" s="502"/>
      <c r="J75" s="502"/>
      <c r="M75" s="483"/>
      <c r="N75" s="483"/>
    </row>
    <row r="76" spans="2:14" ht="12.75">
      <c r="B76" s="466"/>
      <c r="C76" s="442"/>
      <c r="D76" s="457"/>
      <c r="E76" s="441" t="s">
        <v>448</v>
      </c>
      <c r="F76" s="441"/>
      <c r="G76" s="483">
        <f>(+G65/188275)*100</f>
        <v>-14.430548395697782</v>
      </c>
      <c r="H76" s="483">
        <f>(+H65/188275)*100</f>
        <v>-5.2901341123356795</v>
      </c>
      <c r="I76" s="503">
        <f>(+I65/188275)*100</f>
        <v>-14.430548395697782</v>
      </c>
      <c r="J76" s="503">
        <f>(+J65/188275)*100</f>
        <v>-5.2901341123356795</v>
      </c>
      <c r="M76" s="483"/>
      <c r="N76" s="483"/>
    </row>
    <row r="77" spans="2:14" ht="12.75">
      <c r="B77" s="461"/>
      <c r="C77" s="446"/>
      <c r="D77" s="462"/>
      <c r="E77" s="447"/>
      <c r="F77" s="447"/>
      <c r="G77" s="484"/>
      <c r="H77" s="484"/>
      <c r="I77" s="504"/>
      <c r="J77" s="504"/>
      <c r="M77" s="484"/>
      <c r="N77" s="484"/>
    </row>
    <row r="78" spans="2:14" ht="12.75">
      <c r="B78" s="443"/>
      <c r="C78" s="453"/>
      <c r="D78" s="451" t="s">
        <v>1160</v>
      </c>
      <c r="E78" s="444" t="s">
        <v>936</v>
      </c>
      <c r="F78" s="444"/>
      <c r="G78" s="482">
        <v>0</v>
      </c>
      <c r="H78" s="482">
        <v>0</v>
      </c>
      <c r="I78" s="501">
        <v>0</v>
      </c>
      <c r="J78" s="501">
        <v>0</v>
      </c>
      <c r="M78" s="478">
        <v>0</v>
      </c>
      <c r="N78" s="482">
        <v>0</v>
      </c>
    </row>
    <row r="79" spans="2:14" ht="12.75">
      <c r="B79" s="461"/>
      <c r="C79" s="447"/>
      <c r="D79" s="462"/>
      <c r="E79" s="447"/>
      <c r="F79" s="447"/>
      <c r="G79" s="484"/>
      <c r="H79" s="484"/>
      <c r="I79" s="504"/>
      <c r="J79" s="504"/>
      <c r="M79" s="477"/>
      <c r="N79" s="484"/>
    </row>
    <row r="80" spans="2:14" ht="12.75">
      <c r="B80" s="443"/>
      <c r="C80" s="444"/>
      <c r="D80" s="451" t="s">
        <v>1161</v>
      </c>
      <c r="E80" s="444" t="s">
        <v>937</v>
      </c>
      <c r="F80" s="444"/>
      <c r="G80" s="482">
        <v>0</v>
      </c>
      <c r="H80" s="482">
        <v>0</v>
      </c>
      <c r="I80" s="501">
        <v>0</v>
      </c>
      <c r="J80" s="501">
        <v>0</v>
      </c>
      <c r="M80" s="478">
        <v>0</v>
      </c>
      <c r="N80" s="482">
        <v>0</v>
      </c>
    </row>
    <row r="81" spans="2:14" ht="12.75">
      <c r="B81" s="461"/>
      <c r="C81" s="447"/>
      <c r="D81" s="462"/>
      <c r="E81" s="447"/>
      <c r="F81" s="447"/>
      <c r="G81" s="484"/>
      <c r="H81" s="484"/>
      <c r="I81" s="504"/>
      <c r="J81" s="504"/>
      <c r="M81" s="477"/>
      <c r="N81" s="484"/>
    </row>
    <row r="82" spans="2:14" ht="12.75">
      <c r="B82" s="443" t="s">
        <v>1194</v>
      </c>
      <c r="C82" s="444" t="s">
        <v>1154</v>
      </c>
      <c r="D82" s="451"/>
      <c r="E82" s="444" t="s">
        <v>938</v>
      </c>
      <c r="F82" s="444"/>
      <c r="G82" s="482">
        <v>0</v>
      </c>
      <c r="H82" s="482">
        <v>0</v>
      </c>
      <c r="I82" s="501">
        <v>0</v>
      </c>
      <c r="J82" s="501">
        <v>0</v>
      </c>
      <c r="M82" s="478">
        <v>0</v>
      </c>
      <c r="N82" s="482">
        <v>0</v>
      </c>
    </row>
    <row r="83" spans="2:14" ht="12.75">
      <c r="B83" s="461"/>
      <c r="C83" s="447"/>
      <c r="D83" s="462"/>
      <c r="E83" s="447"/>
      <c r="F83" s="447"/>
      <c r="G83" s="484"/>
      <c r="H83" s="484"/>
      <c r="I83" s="504"/>
      <c r="J83" s="504"/>
      <c r="M83" s="477"/>
      <c r="N83" s="484"/>
    </row>
    <row r="84" spans="2:14" ht="12.75">
      <c r="B84" s="467"/>
      <c r="C84" s="449" t="s">
        <v>1156</v>
      </c>
      <c r="D84" s="465"/>
      <c r="E84" s="449" t="s">
        <v>939</v>
      </c>
      <c r="F84" s="449"/>
      <c r="G84" s="485">
        <v>0</v>
      </c>
      <c r="H84" s="485">
        <v>0</v>
      </c>
      <c r="I84" s="505">
        <v>0</v>
      </c>
      <c r="J84" s="505">
        <v>0</v>
      </c>
      <c r="M84" s="480">
        <v>0</v>
      </c>
      <c r="N84" s="485">
        <v>0</v>
      </c>
    </row>
    <row r="85" spans="2:14" ht="12.75">
      <c r="B85" s="209"/>
      <c r="C85" s="181"/>
      <c r="D85" s="181"/>
      <c r="E85" s="181"/>
      <c r="F85" s="181"/>
      <c r="G85" s="471"/>
      <c r="H85" s="472"/>
      <c r="I85" s="471"/>
      <c r="J85" s="472"/>
      <c r="M85" s="471"/>
      <c r="N85" s="472"/>
    </row>
    <row r="86" spans="2:14" ht="12.75">
      <c r="B86" s="209"/>
      <c r="C86" s="181"/>
      <c r="D86" s="181"/>
      <c r="E86" s="181"/>
      <c r="F86" s="181"/>
      <c r="G86" s="471"/>
      <c r="H86" s="472"/>
      <c r="I86" s="471"/>
      <c r="J86" s="472"/>
      <c r="M86" s="471"/>
      <c r="N86" s="472"/>
    </row>
    <row r="87" spans="2:14" ht="12.75">
      <c r="B87" s="209"/>
      <c r="C87" s="181"/>
      <c r="D87" s="181"/>
      <c r="E87" s="181"/>
      <c r="F87" s="181"/>
      <c r="G87" s="471"/>
      <c r="H87" s="472"/>
      <c r="I87" s="471"/>
      <c r="J87" s="472"/>
      <c r="M87" s="471"/>
      <c r="N87" s="472"/>
    </row>
    <row r="88" spans="2:14" ht="12" customHeight="1">
      <c r="B88" s="443"/>
      <c r="C88" s="444"/>
      <c r="D88" s="444"/>
      <c r="E88" s="444"/>
      <c r="F88" s="444"/>
      <c r="G88" s="486" t="s">
        <v>940</v>
      </c>
      <c r="H88" s="487"/>
      <c r="I88" s="506" t="s">
        <v>960</v>
      </c>
      <c r="J88" s="507"/>
      <c r="M88" s="486" t="s">
        <v>940</v>
      </c>
      <c r="N88" s="487"/>
    </row>
    <row r="89" spans="2:14" ht="12.75">
      <c r="B89" s="461"/>
      <c r="C89" s="447"/>
      <c r="D89" s="447"/>
      <c r="E89" s="447"/>
      <c r="F89" s="447"/>
      <c r="G89" s="488"/>
      <c r="H89" s="489"/>
      <c r="I89" s="732" t="s">
        <v>961</v>
      </c>
      <c r="J89" s="733"/>
      <c r="M89" s="488" t="s">
        <v>789</v>
      </c>
      <c r="N89" s="489"/>
    </row>
    <row r="90" spans="2:14" ht="12.75">
      <c r="B90" s="463">
        <v>5</v>
      </c>
      <c r="C90" s="444" t="s">
        <v>449</v>
      </c>
      <c r="D90" s="444"/>
      <c r="E90" s="444"/>
      <c r="F90" s="451"/>
      <c r="G90" s="490">
        <f>('Con B&amp;S'!H13/1000)/188275</f>
        <v>-2.223191990885671</v>
      </c>
      <c r="H90" s="487"/>
      <c r="I90" s="508">
        <f>'[5]Con B&amp;S'!$H$13/188275313</f>
        <v>-2.078838796491603</v>
      </c>
      <c r="J90" s="507"/>
      <c r="M90" s="490">
        <v>-0.057565083692651585</v>
      </c>
      <c r="N90" s="487"/>
    </row>
    <row r="91" spans="2:14" ht="12.75">
      <c r="B91" s="464"/>
      <c r="C91" s="447" t="s">
        <v>450</v>
      </c>
      <c r="D91" s="447"/>
      <c r="E91" s="447"/>
      <c r="F91" s="462"/>
      <c r="G91" s="488"/>
      <c r="H91" s="491"/>
      <c r="I91" s="509"/>
      <c r="J91" s="510"/>
      <c r="M91" s="488"/>
      <c r="N91" s="491"/>
    </row>
    <row r="92" spans="2:14" ht="12.75">
      <c r="B92" s="464"/>
      <c r="C92" s="448"/>
      <c r="D92" s="449"/>
      <c r="E92" s="449"/>
      <c r="F92" s="465"/>
      <c r="G92" s="492"/>
      <c r="H92" s="493"/>
      <c r="I92" s="511"/>
      <c r="J92" s="512"/>
      <c r="M92" s="492"/>
      <c r="N92" s="493"/>
    </row>
    <row r="93" spans="2:10" ht="12.75">
      <c r="B93" s="209"/>
      <c r="C93" s="181"/>
      <c r="D93" s="181"/>
      <c r="E93" s="181"/>
      <c r="F93" s="181"/>
      <c r="G93" s="210"/>
      <c r="H93" s="211"/>
      <c r="I93" s="210"/>
      <c r="J93" s="211"/>
    </row>
    <row r="94" spans="2:10" ht="12.75">
      <c r="B94" s="454" t="s">
        <v>941</v>
      </c>
      <c r="C94" s="181"/>
      <c r="D94" s="181"/>
      <c r="E94" s="181"/>
      <c r="F94" s="181"/>
      <c r="G94" s="210"/>
      <c r="H94" s="211"/>
      <c r="I94" s="210"/>
      <c r="J94" s="211"/>
    </row>
    <row r="95" spans="2:10" ht="12.75">
      <c r="B95" s="454" t="s">
        <v>760</v>
      </c>
      <c r="C95" s="181"/>
      <c r="D95" s="181"/>
      <c r="E95" s="181"/>
      <c r="F95" s="181"/>
      <c r="G95" s="210"/>
      <c r="H95" s="211"/>
      <c r="I95" s="210"/>
      <c r="J95" s="211"/>
    </row>
    <row r="96" spans="2:10" ht="12.75">
      <c r="B96" s="454" t="s">
        <v>761</v>
      </c>
      <c r="C96" s="181"/>
      <c r="D96" s="181"/>
      <c r="E96" s="181"/>
      <c r="F96" s="181"/>
      <c r="G96" s="210"/>
      <c r="H96" s="211"/>
      <c r="I96" s="210"/>
      <c r="J96" s="211"/>
    </row>
    <row r="97" spans="2:10" ht="12.75">
      <c r="B97" s="454" t="s">
        <v>418</v>
      </c>
      <c r="C97" s="181"/>
      <c r="D97" s="181"/>
      <c r="E97" s="181"/>
      <c r="F97" s="181"/>
      <c r="G97" s="210"/>
      <c r="H97" s="211"/>
      <c r="I97" s="210"/>
      <c r="J97" s="211"/>
    </row>
    <row r="98" spans="2:10" ht="12.75">
      <c r="B98" s="454" t="s">
        <v>419</v>
      </c>
      <c r="C98" s="181"/>
      <c r="D98" s="181"/>
      <c r="E98" s="181"/>
      <c r="F98" s="181"/>
      <c r="G98" s="210"/>
      <c r="H98" s="211"/>
      <c r="I98" s="210"/>
      <c r="J98" s="211"/>
    </row>
    <row r="99" spans="2:10" ht="12.75">
      <c r="B99" s="454" t="s">
        <v>762</v>
      </c>
      <c r="C99" s="181"/>
      <c r="D99" s="181"/>
      <c r="E99" s="181"/>
      <c r="F99" s="181"/>
      <c r="G99" s="210"/>
      <c r="H99" s="211"/>
      <c r="I99" s="210"/>
      <c r="J99" s="211"/>
    </row>
    <row r="100" spans="2:10" ht="12.75">
      <c r="B100" s="454" t="s">
        <v>763</v>
      </c>
      <c r="C100" s="181"/>
      <c r="D100" s="181"/>
      <c r="E100" s="181"/>
      <c r="F100" s="181"/>
      <c r="G100" s="210"/>
      <c r="H100" s="211"/>
      <c r="I100" s="210"/>
      <c r="J100" s="211"/>
    </row>
    <row r="101" spans="2:10" ht="12.75">
      <c r="B101" s="454" t="s">
        <v>420</v>
      </c>
      <c r="C101" s="181"/>
      <c r="D101" s="181"/>
      <c r="E101" s="181"/>
      <c r="F101" s="181"/>
      <c r="G101" s="210"/>
      <c r="H101" s="211"/>
      <c r="I101" s="210"/>
      <c r="J101" s="211"/>
    </row>
    <row r="102" spans="2:10" ht="12.75">
      <c r="B102" s="454" t="s">
        <v>421</v>
      </c>
      <c r="C102" s="181"/>
      <c r="D102" s="181"/>
      <c r="E102" s="181"/>
      <c r="F102" s="181"/>
      <c r="G102" s="210"/>
      <c r="H102" s="211"/>
      <c r="I102" s="210"/>
      <c r="J102" s="211"/>
    </row>
    <row r="103" spans="2:10" ht="15.75">
      <c r="B103" s="454"/>
      <c r="G103" s="208"/>
      <c r="H103" s="208"/>
      <c r="I103" s="208"/>
      <c r="J103" s="208"/>
    </row>
    <row r="104" spans="2:10" ht="15.75">
      <c r="B104" s="454" t="s">
        <v>756</v>
      </c>
      <c r="G104" s="208"/>
      <c r="H104" s="208"/>
      <c r="I104" s="208"/>
      <c r="J104" s="208"/>
    </row>
    <row r="105" spans="2:10" ht="15.75">
      <c r="B105" s="454"/>
      <c r="G105" s="208"/>
      <c r="H105" s="208"/>
      <c r="I105" s="208"/>
      <c r="J105" s="208"/>
    </row>
    <row r="106" spans="2:10" ht="15.75">
      <c r="B106" s="454" t="s">
        <v>338</v>
      </c>
      <c r="G106" s="208"/>
      <c r="H106" s="208"/>
      <c r="I106" s="208"/>
      <c r="J106" s="208"/>
    </row>
    <row r="107" spans="2:10" ht="15.75">
      <c r="B107" s="454"/>
      <c r="G107" s="208"/>
      <c r="H107" s="208"/>
      <c r="I107" s="208"/>
      <c r="J107" s="208"/>
    </row>
    <row r="108" spans="2:10" ht="15.75">
      <c r="B108" s="454" t="s">
        <v>453</v>
      </c>
      <c r="G108" s="208"/>
      <c r="H108" s="208"/>
      <c r="I108" s="208"/>
      <c r="J108" s="208"/>
    </row>
    <row r="109" spans="2:10" ht="15.75">
      <c r="B109" s="454"/>
      <c r="G109" s="208"/>
      <c r="H109" s="208"/>
      <c r="I109" s="208"/>
      <c r="J109" s="208"/>
    </row>
    <row r="110" spans="2:10" ht="15.75">
      <c r="B110" s="454" t="s">
        <v>1458</v>
      </c>
      <c r="G110" s="208"/>
      <c r="H110" s="208"/>
      <c r="I110" s="208"/>
      <c r="J110" s="208"/>
    </row>
    <row r="111" spans="2:10" ht="15.75">
      <c r="B111" s="454"/>
      <c r="G111" s="208"/>
      <c r="H111" s="208"/>
      <c r="I111" s="208"/>
      <c r="J111" s="208"/>
    </row>
    <row r="112" spans="2:10" ht="15.75">
      <c r="B112" s="454" t="s">
        <v>422</v>
      </c>
      <c r="G112" s="208"/>
      <c r="H112" s="208"/>
      <c r="I112" s="208"/>
      <c r="J112" s="208"/>
    </row>
    <row r="113" spans="2:10" ht="15.75">
      <c r="B113" s="454" t="s">
        <v>423</v>
      </c>
      <c r="G113" s="208"/>
      <c r="H113" s="208"/>
      <c r="I113" s="208"/>
      <c r="J113" s="208"/>
    </row>
    <row r="114" spans="2:10" ht="15.75">
      <c r="B114" s="454" t="s">
        <v>424</v>
      </c>
      <c r="G114" s="208"/>
      <c r="H114" s="208"/>
      <c r="I114" s="208"/>
      <c r="J114" s="208"/>
    </row>
    <row r="115" spans="2:10" ht="15.75">
      <c r="B115" s="454" t="s">
        <v>425</v>
      </c>
      <c r="G115" s="208"/>
      <c r="H115" s="208"/>
      <c r="I115" s="208"/>
      <c r="J115" s="208"/>
    </row>
    <row r="116" spans="2:10" ht="15.75">
      <c r="B116" s="454" t="s">
        <v>426</v>
      </c>
      <c r="G116" s="208"/>
      <c r="H116" s="208"/>
      <c r="I116" s="208"/>
      <c r="J116" s="208"/>
    </row>
    <row r="117" spans="2:10" ht="15.75">
      <c r="B117" s="454"/>
      <c r="G117" s="208"/>
      <c r="H117" s="208"/>
      <c r="I117" s="208"/>
      <c r="J117" s="208"/>
    </row>
    <row r="118" spans="2:10" ht="15.75">
      <c r="B118" s="454" t="s">
        <v>1459</v>
      </c>
      <c r="G118" s="208"/>
      <c r="H118" s="208"/>
      <c r="I118" s="208"/>
      <c r="J118" s="208"/>
    </row>
    <row r="119" spans="2:10" ht="15.75">
      <c r="B119" s="454"/>
      <c r="G119" s="208"/>
      <c r="H119" s="208"/>
      <c r="I119" s="208"/>
      <c r="J119" s="208"/>
    </row>
    <row r="120" spans="2:10" ht="15.75">
      <c r="B120" s="454"/>
      <c r="G120" s="208"/>
      <c r="H120" s="208"/>
      <c r="I120" s="208"/>
      <c r="J120" s="208"/>
    </row>
    <row r="121" spans="2:10" ht="15.75">
      <c r="B121" s="454"/>
      <c r="G121" s="208"/>
      <c r="H121" s="208"/>
      <c r="I121" s="208"/>
      <c r="J121" s="208"/>
    </row>
    <row r="122" spans="7:10" ht="15.75">
      <c r="G122" s="208"/>
      <c r="H122" s="208"/>
      <c r="I122" s="208"/>
      <c r="J122" s="208"/>
    </row>
    <row r="123" spans="7:10" ht="15.75">
      <c r="G123" s="208"/>
      <c r="H123" s="208"/>
      <c r="I123" s="208"/>
      <c r="J123" s="208"/>
    </row>
    <row r="124" spans="7:10" ht="15.75">
      <c r="G124" s="208"/>
      <c r="H124" s="208"/>
      <c r="I124" s="208"/>
      <c r="J124" s="208"/>
    </row>
    <row r="125" spans="7:10" ht="15.75">
      <c r="G125" s="208"/>
      <c r="H125" s="208"/>
      <c r="I125" s="208"/>
      <c r="J125" s="208"/>
    </row>
    <row r="126" spans="7:10" ht="15.75">
      <c r="G126" s="208"/>
      <c r="H126" s="208"/>
      <c r="I126" s="208"/>
      <c r="J126" s="208"/>
    </row>
    <row r="127" spans="7:10" ht="15.75">
      <c r="G127" s="208"/>
      <c r="H127" s="208"/>
      <c r="I127" s="208"/>
      <c r="J127" s="208"/>
    </row>
    <row r="128" spans="7:10" ht="15.75">
      <c r="G128" s="208"/>
      <c r="H128" s="208"/>
      <c r="I128" s="208"/>
      <c r="J128" s="208"/>
    </row>
    <row r="129" spans="7:10" ht="15.75">
      <c r="G129" s="208"/>
      <c r="H129" s="208"/>
      <c r="I129" s="208"/>
      <c r="J129" s="208"/>
    </row>
    <row r="130" spans="7:10" ht="15.75">
      <c r="G130" s="208"/>
      <c r="H130" s="208"/>
      <c r="I130" s="208"/>
      <c r="J130" s="208"/>
    </row>
    <row r="131" spans="7:10" ht="15.75">
      <c r="G131" s="208"/>
      <c r="H131" s="208"/>
      <c r="I131" s="208"/>
      <c r="J131" s="208"/>
    </row>
    <row r="132" spans="7:10" ht="15.75">
      <c r="G132" s="208"/>
      <c r="H132" s="208"/>
      <c r="I132" s="208"/>
      <c r="J132" s="208"/>
    </row>
    <row r="133" spans="7:10" ht="15.75">
      <c r="G133" s="208"/>
      <c r="H133" s="208"/>
      <c r="I133" s="208"/>
      <c r="J133" s="208"/>
    </row>
    <row r="134" spans="7:10" ht="15.75">
      <c r="G134" s="208"/>
      <c r="H134" s="208"/>
      <c r="I134" s="208"/>
      <c r="J134" s="208"/>
    </row>
    <row r="135" spans="7:10" ht="15.75">
      <c r="G135" s="208"/>
      <c r="H135" s="208"/>
      <c r="I135" s="208"/>
      <c r="J135" s="208"/>
    </row>
    <row r="136" spans="7:10" ht="15.75">
      <c r="G136" s="208"/>
      <c r="H136" s="208"/>
      <c r="I136" s="208"/>
      <c r="J136" s="208"/>
    </row>
    <row r="137" spans="7:10" ht="15.75">
      <c r="G137" s="208"/>
      <c r="H137" s="208"/>
      <c r="I137" s="208"/>
      <c r="J137" s="208"/>
    </row>
    <row r="138" spans="7:10" ht="15.75">
      <c r="G138" s="208"/>
      <c r="H138" s="208"/>
      <c r="I138" s="208"/>
      <c r="J138" s="208"/>
    </row>
    <row r="139" spans="7:10" ht="15.75">
      <c r="G139" s="208"/>
      <c r="H139" s="208"/>
      <c r="I139" s="208"/>
      <c r="J139" s="208"/>
    </row>
    <row r="140" spans="7:10" ht="15.75">
      <c r="G140" s="208"/>
      <c r="H140" s="208"/>
      <c r="I140" s="208"/>
      <c r="J140" s="208"/>
    </row>
    <row r="141" spans="7:10" ht="15.75">
      <c r="G141" s="208"/>
      <c r="H141" s="208"/>
      <c r="I141" s="208"/>
      <c r="J141" s="208"/>
    </row>
    <row r="142" spans="7:10" ht="15.75">
      <c r="G142" s="208"/>
      <c r="H142" s="208"/>
      <c r="I142" s="208"/>
      <c r="J142" s="208"/>
    </row>
    <row r="143" spans="7:10" ht="15.75">
      <c r="G143" s="208"/>
      <c r="H143" s="208"/>
      <c r="I143" s="208"/>
      <c r="J143" s="208"/>
    </row>
    <row r="144" spans="7:10" ht="15.75">
      <c r="G144" s="208"/>
      <c r="H144" s="208"/>
      <c r="I144" s="208"/>
      <c r="J144" s="208"/>
    </row>
    <row r="145" spans="7:10" ht="15.75">
      <c r="G145" s="208"/>
      <c r="H145" s="208"/>
      <c r="I145" s="208"/>
      <c r="J145" s="208"/>
    </row>
    <row r="146" spans="7:10" ht="15.75">
      <c r="G146" s="208"/>
      <c r="H146" s="208"/>
      <c r="I146" s="208"/>
      <c r="J146" s="208"/>
    </row>
    <row r="147" spans="7:10" ht="15.75">
      <c r="G147" s="208"/>
      <c r="H147" s="208"/>
      <c r="I147" s="208"/>
      <c r="J147" s="208"/>
    </row>
    <row r="148" spans="7:10" ht="15.75">
      <c r="G148" s="208"/>
      <c r="H148" s="208"/>
      <c r="I148" s="208"/>
      <c r="J148" s="208"/>
    </row>
    <row r="149" spans="7:10" ht="15.75">
      <c r="G149" s="208"/>
      <c r="H149" s="208"/>
      <c r="I149" s="208"/>
      <c r="J149" s="208"/>
    </row>
    <row r="150" spans="7:10" ht="15.75">
      <c r="G150" s="208"/>
      <c r="H150" s="208"/>
      <c r="I150" s="208"/>
      <c r="J150" s="208"/>
    </row>
    <row r="151" spans="7:10" ht="15.75">
      <c r="G151" s="208"/>
      <c r="H151" s="208"/>
      <c r="I151" s="208"/>
      <c r="J151" s="208"/>
    </row>
    <row r="152" spans="7:10" ht="15.75">
      <c r="G152" s="208"/>
      <c r="H152" s="208"/>
      <c r="I152" s="208"/>
      <c r="J152" s="208"/>
    </row>
    <row r="153" spans="7:10" ht="15.75">
      <c r="G153" s="208"/>
      <c r="H153" s="208"/>
      <c r="I153" s="208"/>
      <c r="J153" s="208"/>
    </row>
    <row r="154" spans="7:10" ht="15.75">
      <c r="G154" s="208"/>
      <c r="H154" s="208"/>
      <c r="I154" s="208"/>
      <c r="J154" s="208"/>
    </row>
    <row r="155" spans="7:10" ht="15.75">
      <c r="G155" s="208"/>
      <c r="H155" s="208"/>
      <c r="I155" s="208"/>
      <c r="J155" s="208"/>
    </row>
    <row r="156" spans="7:10" ht="15.75">
      <c r="G156" s="208"/>
      <c r="H156" s="208"/>
      <c r="I156" s="208"/>
      <c r="J156" s="208"/>
    </row>
    <row r="157" spans="7:10" ht="15.75">
      <c r="G157" s="208"/>
      <c r="H157" s="208"/>
      <c r="I157" s="208"/>
      <c r="J157" s="208"/>
    </row>
    <row r="158" spans="7:10" ht="15.75">
      <c r="G158" s="208"/>
      <c r="H158" s="208"/>
      <c r="I158" s="208"/>
      <c r="J158" s="208"/>
    </row>
    <row r="159" spans="7:10" ht="15.75">
      <c r="G159" s="208"/>
      <c r="H159" s="208"/>
      <c r="I159" s="208"/>
      <c r="J159" s="208"/>
    </row>
    <row r="160" spans="7:10" ht="15.75">
      <c r="G160" s="208"/>
      <c r="H160" s="208"/>
      <c r="I160" s="208"/>
      <c r="J160" s="208"/>
    </row>
    <row r="161" spans="7:10" ht="15.75">
      <c r="G161" s="208"/>
      <c r="H161" s="208"/>
      <c r="I161" s="208"/>
      <c r="J161" s="208"/>
    </row>
    <row r="162" spans="7:10" ht="15.75">
      <c r="G162" s="208"/>
      <c r="H162" s="208"/>
      <c r="I162" s="208"/>
      <c r="J162" s="208"/>
    </row>
    <row r="163" spans="7:10" ht="15.75">
      <c r="G163" s="208"/>
      <c r="H163" s="208"/>
      <c r="I163" s="208"/>
      <c r="J163" s="208"/>
    </row>
    <row r="164" spans="7:10" ht="15.75">
      <c r="G164" s="208"/>
      <c r="H164" s="208"/>
      <c r="I164" s="208"/>
      <c r="J164" s="208"/>
    </row>
    <row r="165" spans="7:10" ht="15.75">
      <c r="G165" s="208"/>
      <c r="H165" s="208"/>
      <c r="I165" s="208"/>
      <c r="J165" s="208"/>
    </row>
    <row r="166" spans="7:10" ht="15.75">
      <c r="G166" s="208"/>
      <c r="H166" s="208"/>
      <c r="I166" s="208"/>
      <c r="J166" s="208"/>
    </row>
    <row r="167" spans="7:10" ht="15.75">
      <c r="G167" s="208"/>
      <c r="H167" s="208"/>
      <c r="I167" s="208"/>
      <c r="J167" s="208"/>
    </row>
    <row r="168" spans="7:10" ht="15.75">
      <c r="G168" s="208"/>
      <c r="H168" s="208"/>
      <c r="I168" s="208"/>
      <c r="J168" s="208"/>
    </row>
    <row r="169" spans="7:10" ht="15.75">
      <c r="G169" s="208"/>
      <c r="H169" s="208"/>
      <c r="I169" s="208"/>
      <c r="J169" s="208"/>
    </row>
    <row r="170" spans="7:10" ht="15.75">
      <c r="G170" s="208"/>
      <c r="H170" s="208"/>
      <c r="I170" s="208"/>
      <c r="J170" s="208"/>
    </row>
    <row r="171" spans="7:10" ht="15.75">
      <c r="G171" s="208"/>
      <c r="H171" s="208"/>
      <c r="I171" s="208"/>
      <c r="J171" s="208"/>
    </row>
    <row r="172" spans="7:10" ht="15.75">
      <c r="G172" s="208"/>
      <c r="H172" s="208"/>
      <c r="I172" s="208"/>
      <c r="J172" s="208"/>
    </row>
    <row r="173" spans="7:10" ht="15.75">
      <c r="G173" s="208"/>
      <c r="H173" s="208"/>
      <c r="I173" s="208"/>
      <c r="J173" s="208"/>
    </row>
  </sheetData>
  <mergeCells count="3">
    <mergeCell ref="G26:H26"/>
    <mergeCell ref="I26:J26"/>
    <mergeCell ref="I89:J89"/>
  </mergeCells>
  <printOptions/>
  <pageMargins left="0.57" right="0.52" top="1" bottom="0.53" header="0.5" footer="0.5"/>
  <pageSetup fitToHeight="2" fitToWidth="1" horizontalDpi="300" verticalDpi="3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6"/>
  <sheetViews>
    <sheetView zoomScale="75" zoomScaleNormal="75" workbookViewId="0" topLeftCell="B5">
      <pane xSplit="4" ySplit="7" topLeftCell="F52" activePane="bottomRight" state="frozen"/>
      <selection pane="topLeft" activeCell="B5" sqref="B5"/>
      <selection pane="topRight" activeCell="F5" sqref="F5"/>
      <selection pane="bottomLeft" activeCell="B11" sqref="B11"/>
      <selection pane="bottomRight" activeCell="E65" sqref="E65"/>
    </sheetView>
  </sheetViews>
  <sheetFormatPr defaultColWidth="9.140625" defaultRowHeight="12.75"/>
  <cols>
    <col min="1" max="1" width="4.00390625" style="0" customWidth="1"/>
    <col min="2" max="2" width="6.28125" style="204" customWidth="1"/>
    <col min="3" max="3" width="4.00390625" style="204" customWidth="1"/>
    <col min="4" max="4" width="2.7109375" style="204" customWidth="1"/>
    <col min="5" max="5" width="35.28125" style="204" customWidth="1"/>
    <col min="6" max="6" width="15.28125" style="204" customWidth="1"/>
    <col min="7" max="7" width="16.7109375" style="206" customWidth="1"/>
    <col min="8" max="8" width="4.8515625" style="206" customWidth="1"/>
    <col min="9" max="9" width="20.00390625" style="204" customWidth="1"/>
    <col min="10" max="10" width="15.57421875" style="204" customWidth="1"/>
    <col min="11" max="11" width="18.7109375" style="204" bestFit="1" customWidth="1"/>
    <col min="12" max="12" width="3.00390625" style="204" customWidth="1"/>
    <col min="13" max="13" width="11.140625" style="0" customWidth="1"/>
    <col min="14" max="14" width="12.57421875" style="0" bestFit="1" customWidth="1"/>
  </cols>
  <sheetData>
    <row r="1" spans="7:11" ht="15.75">
      <c r="G1" s="208"/>
      <c r="H1" s="208"/>
      <c r="I1" s="526"/>
      <c r="J1" s="526"/>
      <c r="K1" s="526"/>
    </row>
    <row r="2" spans="2:11" ht="15.75">
      <c r="B2" s="527" t="s">
        <v>1383</v>
      </c>
      <c r="G2" s="208"/>
      <c r="H2" s="208"/>
      <c r="I2" s="526"/>
      <c r="J2" s="526"/>
      <c r="K2" s="526"/>
    </row>
    <row r="3" spans="2:11" ht="15.75">
      <c r="B3" s="527"/>
      <c r="G3" s="208"/>
      <c r="H3" s="208"/>
      <c r="I3" s="526"/>
      <c r="J3" s="526"/>
      <c r="K3" s="526"/>
    </row>
    <row r="4" spans="2:11" ht="15.75">
      <c r="B4" s="527" t="s">
        <v>502</v>
      </c>
      <c r="G4" s="208"/>
      <c r="H4" s="208"/>
      <c r="I4" s="526"/>
      <c r="J4" s="526"/>
      <c r="K4" s="526"/>
    </row>
    <row r="5" spans="6:11" ht="12.75">
      <c r="F5" s="539" t="s">
        <v>871</v>
      </c>
      <c r="G5" s="539" t="s">
        <v>871</v>
      </c>
      <c r="H5" s="524"/>
      <c r="I5" s="526"/>
      <c r="J5" s="526"/>
      <c r="K5" s="526"/>
    </row>
    <row r="6" spans="6:11" ht="12.75">
      <c r="F6" s="539" t="s">
        <v>872</v>
      </c>
      <c r="G6" s="539" t="s">
        <v>874</v>
      </c>
      <c r="H6" s="524"/>
      <c r="I6" s="526"/>
      <c r="J6" s="526"/>
      <c r="K6" s="526"/>
    </row>
    <row r="7" spans="6:11" ht="12.75">
      <c r="F7" s="539" t="s">
        <v>873</v>
      </c>
      <c r="G7" s="539" t="s">
        <v>875</v>
      </c>
      <c r="H7" s="524"/>
      <c r="I7" s="526"/>
      <c r="J7" s="526"/>
      <c r="K7" s="526"/>
    </row>
    <row r="8" spans="6:11" ht="12.75">
      <c r="F8" s="539" t="s">
        <v>1262</v>
      </c>
      <c r="G8" s="539" t="s">
        <v>876</v>
      </c>
      <c r="H8" s="524"/>
      <c r="I8" s="524" t="s">
        <v>1262</v>
      </c>
      <c r="J8" s="524" t="s">
        <v>876</v>
      </c>
      <c r="K8" s="526"/>
    </row>
    <row r="9" spans="6:11" ht="12.75">
      <c r="F9" s="540">
        <v>36799</v>
      </c>
      <c r="G9" s="540">
        <v>36707</v>
      </c>
      <c r="H9" s="523"/>
      <c r="I9" s="523">
        <v>36799</v>
      </c>
      <c r="J9" s="523">
        <v>36707</v>
      </c>
      <c r="K9" s="526"/>
    </row>
    <row r="10" spans="6:11" ht="12.75">
      <c r="F10" s="540"/>
      <c r="G10" s="540" t="s">
        <v>427</v>
      </c>
      <c r="H10" s="523"/>
      <c r="I10" s="523"/>
      <c r="J10" s="523"/>
      <c r="K10" s="526"/>
    </row>
    <row r="11" spans="6:11" ht="12.75">
      <c r="F11" s="539" t="s">
        <v>287</v>
      </c>
      <c r="G11" s="539" t="s">
        <v>287</v>
      </c>
      <c r="H11" s="524"/>
      <c r="I11" s="524" t="s">
        <v>287</v>
      </c>
      <c r="J11" s="524" t="s">
        <v>287</v>
      </c>
      <c r="K11" s="526"/>
    </row>
    <row r="12" spans="7:11" ht="15.75">
      <c r="G12" s="208"/>
      <c r="H12" s="208"/>
      <c r="J12" s="526"/>
      <c r="K12" s="526"/>
    </row>
    <row r="13" spans="2:11" ht="12.75">
      <c r="B13" s="204">
        <v>1</v>
      </c>
      <c r="C13" s="204" t="s">
        <v>865</v>
      </c>
      <c r="F13" s="526">
        <f aca="true" t="shared" si="0" ref="F13:G16">+I13/1000</f>
        <v>9069.448480000001</v>
      </c>
      <c r="G13" s="526">
        <f t="shared" si="0"/>
        <v>21985.069199999998</v>
      </c>
      <c r="H13" s="526"/>
      <c r="I13" s="525">
        <f>'Con B&amp;S'!H22</f>
        <v>9069448.48</v>
      </c>
      <c r="J13" s="526">
        <v>21985069.2</v>
      </c>
      <c r="K13" s="573">
        <f>+I13-J13</f>
        <v>-12915620.719999999</v>
      </c>
    </row>
    <row r="14" spans="2:11" ht="12.75">
      <c r="B14" s="204">
        <v>2</v>
      </c>
      <c r="C14" s="204" t="s">
        <v>866</v>
      </c>
      <c r="F14" s="526">
        <f t="shared" si="0"/>
        <v>19044.621678000003</v>
      </c>
      <c r="G14" s="526">
        <f t="shared" si="0"/>
        <v>19153.755678</v>
      </c>
      <c r="H14" s="526"/>
      <c r="I14" s="525">
        <f>'Con B&amp;S'!H25</f>
        <v>19044621.678000003</v>
      </c>
      <c r="J14" s="526">
        <v>19153755.678000003</v>
      </c>
      <c r="K14" s="573">
        <f aca="true" t="shared" si="1" ref="K14:K67">+I14-J14</f>
        <v>-109134</v>
      </c>
    </row>
    <row r="15" spans="2:11" ht="12.75">
      <c r="B15" s="204">
        <v>3</v>
      </c>
      <c r="C15" s="204" t="s">
        <v>867</v>
      </c>
      <c r="F15" s="526">
        <f t="shared" si="0"/>
        <v>199742.746</v>
      </c>
      <c r="G15" s="526">
        <f t="shared" si="0"/>
        <v>198605.018</v>
      </c>
      <c r="H15" s="526"/>
      <c r="I15" s="525">
        <f>'Con B&amp;S'!H26</f>
        <v>199742746</v>
      </c>
      <c r="J15" s="526">
        <v>198605018</v>
      </c>
      <c r="K15" s="573">
        <f t="shared" si="1"/>
        <v>1137728</v>
      </c>
    </row>
    <row r="16" spans="2:11" ht="12.75">
      <c r="B16" s="204">
        <v>4</v>
      </c>
      <c r="C16" s="204" t="s">
        <v>868</v>
      </c>
      <c r="F16" s="526">
        <f t="shared" si="0"/>
        <v>-0.00039999999990686776</v>
      </c>
      <c r="G16" s="526">
        <f t="shared" si="0"/>
        <v>-0.00039999999990686776</v>
      </c>
      <c r="H16" s="526"/>
      <c r="I16" s="525">
        <f>'Con B&amp;S'!H66</f>
        <v>-0.39999999990686774</v>
      </c>
      <c r="J16" s="526">
        <v>-0.39999999990686774</v>
      </c>
      <c r="K16" s="573">
        <f t="shared" si="1"/>
        <v>0</v>
      </c>
    </row>
    <row r="17" spans="10:11" ht="15.75">
      <c r="J17" s="526"/>
      <c r="K17" s="573">
        <f t="shared" si="1"/>
        <v>0</v>
      </c>
    </row>
    <row r="18" spans="2:11" ht="15.75">
      <c r="B18" s="204">
        <v>5</v>
      </c>
      <c r="C18" s="204" t="s">
        <v>57</v>
      </c>
      <c r="F18" s="526"/>
      <c r="G18" s="526"/>
      <c r="J18" s="526"/>
      <c r="K18" s="573">
        <f t="shared" si="1"/>
        <v>0</v>
      </c>
    </row>
    <row r="19" spans="4:11" ht="15.75">
      <c r="D19" s="204" t="s">
        <v>683</v>
      </c>
      <c r="F19" s="526">
        <f aca="true" t="shared" si="2" ref="F19:F26">+I19/1000</f>
        <v>1428.574</v>
      </c>
      <c r="G19" s="526">
        <f aca="true" t="shared" si="3" ref="G19:G26">+J19/1000</f>
        <v>1428.488</v>
      </c>
      <c r="I19" s="526">
        <f>'Con B&amp;S'!H32</f>
        <v>1428574</v>
      </c>
      <c r="J19" s="526">
        <v>1428488</v>
      </c>
      <c r="K19" s="573">
        <f t="shared" si="1"/>
        <v>86</v>
      </c>
    </row>
    <row r="20" spans="4:11" ht="15.75">
      <c r="D20" s="204" t="s">
        <v>869</v>
      </c>
      <c r="F20" s="526">
        <f t="shared" si="2"/>
        <v>25973.255550000005</v>
      </c>
      <c r="G20" s="526">
        <f t="shared" si="3"/>
        <v>25881.750079999998</v>
      </c>
      <c r="H20" s="208"/>
      <c r="I20" s="526">
        <f>'Con B&amp;S'!H33</f>
        <v>25973255.550000004</v>
      </c>
      <c r="J20" s="526">
        <v>25881750.08</v>
      </c>
      <c r="K20" s="573">
        <f t="shared" si="1"/>
        <v>91505.47000000626</v>
      </c>
    </row>
    <row r="21" spans="4:11" ht="15.75">
      <c r="D21" s="204" t="s">
        <v>870</v>
      </c>
      <c r="F21" s="526">
        <f t="shared" si="2"/>
        <v>9921.50917</v>
      </c>
      <c r="G21" s="526">
        <f t="shared" si="3"/>
        <v>6971.274</v>
      </c>
      <c r="H21" s="208"/>
      <c r="I21" s="526">
        <f>'Con B&amp;S'!H39</f>
        <v>9921509.17</v>
      </c>
      <c r="J21" s="526">
        <v>6971274</v>
      </c>
      <c r="K21" s="573">
        <f t="shared" si="1"/>
        <v>2950235.17</v>
      </c>
    </row>
    <row r="22" spans="4:11" ht="15.75">
      <c r="D22" s="204" t="s">
        <v>877</v>
      </c>
      <c r="F22" s="526">
        <f t="shared" si="2"/>
        <v>4780.69416</v>
      </c>
      <c r="G22" s="526">
        <f t="shared" si="3"/>
        <v>5649.70071</v>
      </c>
      <c r="H22" s="208"/>
      <c r="I22" s="526">
        <f>'Con B&amp;S'!H40</f>
        <v>4780694.16</v>
      </c>
      <c r="J22" s="526">
        <v>5649700.71</v>
      </c>
      <c r="K22" s="573">
        <f t="shared" si="1"/>
        <v>-869006.5499999998</v>
      </c>
    </row>
    <row r="23" spans="4:11" ht="15.75">
      <c r="D23" s="204" t="s">
        <v>879</v>
      </c>
      <c r="F23" s="526"/>
      <c r="G23" s="526"/>
      <c r="H23" s="208"/>
      <c r="I23" s="526"/>
      <c r="J23" s="526"/>
      <c r="K23" s="573">
        <f t="shared" si="1"/>
        <v>0</v>
      </c>
    </row>
    <row r="24" spans="5:11" ht="15.75">
      <c r="E24" s="204" t="s">
        <v>679</v>
      </c>
      <c r="F24" s="526">
        <f t="shared" si="2"/>
        <v>265863.60288</v>
      </c>
      <c r="G24" s="526">
        <f t="shared" si="3"/>
        <v>266232.33088</v>
      </c>
      <c r="H24" s="208"/>
      <c r="I24" s="526">
        <f>'Con B&amp;S'!H31+'Con B&amp;S'!H27</f>
        <v>265863602.88</v>
      </c>
      <c r="J24" s="526">
        <v>266232330.88</v>
      </c>
      <c r="K24" s="573">
        <f t="shared" si="1"/>
        <v>-368728</v>
      </c>
    </row>
    <row r="25" spans="5:11" ht="15.75">
      <c r="E25" s="204" t="s">
        <v>889</v>
      </c>
      <c r="F25" s="526">
        <f t="shared" si="2"/>
        <v>7907.486</v>
      </c>
      <c r="G25" s="526">
        <f t="shared" si="3"/>
        <v>10214.409</v>
      </c>
      <c r="H25" s="208"/>
      <c r="I25" s="526">
        <f>'Con B&amp;S'!H23</f>
        <v>7907486</v>
      </c>
      <c r="J25" s="526">
        <v>10214409</v>
      </c>
      <c r="K25" s="573">
        <f t="shared" si="1"/>
        <v>-2306923</v>
      </c>
    </row>
    <row r="26" spans="5:11" ht="15.75">
      <c r="E26" s="204" t="s">
        <v>890</v>
      </c>
      <c r="F26" s="526">
        <f t="shared" si="2"/>
        <v>22013.859040000003</v>
      </c>
      <c r="G26" s="526">
        <f t="shared" si="3"/>
        <v>23127.93269</v>
      </c>
      <c r="H26" s="208"/>
      <c r="I26" s="526">
        <f>'Con B&amp;S'!H34+'Con B&amp;S'!H38</f>
        <v>22013859.040000003</v>
      </c>
      <c r="J26" s="526">
        <v>23127932.69</v>
      </c>
      <c r="K26" s="573">
        <f t="shared" si="1"/>
        <v>-1114073.6499999985</v>
      </c>
    </row>
    <row r="27" spans="6:11" ht="15.75">
      <c r="F27" s="528"/>
      <c r="G27" s="208"/>
      <c r="H27" s="208"/>
      <c r="I27" s="526"/>
      <c r="J27" s="526"/>
      <c r="K27" s="573">
        <f t="shared" si="1"/>
        <v>0</v>
      </c>
    </row>
    <row r="28" spans="6:11" ht="16.5" thickBot="1">
      <c r="F28" s="541">
        <f>SUM(F19:F26)</f>
        <v>337888.9808</v>
      </c>
      <c r="G28" s="541">
        <f>SUM(G19:G26)</f>
        <v>339505.88536</v>
      </c>
      <c r="H28" s="208"/>
      <c r="I28" s="541">
        <f>SUM(I19:I26)</f>
        <v>337888980.8</v>
      </c>
      <c r="J28" s="541">
        <v>339505885.36</v>
      </c>
      <c r="K28" s="573">
        <f t="shared" si="1"/>
        <v>-1616904.5600000024</v>
      </c>
    </row>
    <row r="29" spans="2:14" ht="16.5" thickTop="1">
      <c r="B29" s="204">
        <v>6</v>
      </c>
      <c r="C29" s="204" t="s">
        <v>880</v>
      </c>
      <c r="F29" s="528"/>
      <c r="G29" s="208"/>
      <c r="H29" s="208"/>
      <c r="I29" s="526"/>
      <c r="J29" s="526"/>
      <c r="K29" s="573"/>
      <c r="N29" s="526">
        <f>'Con B&amp;S'!B157</f>
        <v>131401608.84</v>
      </c>
    </row>
    <row r="30" spans="4:11" ht="15.75">
      <c r="D30" s="204" t="s">
        <v>881</v>
      </c>
      <c r="F30" s="526">
        <f aca="true" t="shared" si="4" ref="F30:G34">+I30/1000</f>
        <v>732691.0172900001</v>
      </c>
      <c r="G30" s="526">
        <f t="shared" si="4"/>
        <v>646167.22506</v>
      </c>
      <c r="H30" s="208"/>
      <c r="I30" s="573">
        <f>'Con B&amp;S'!H50+'Con B&amp;S'!H59</f>
        <v>732691017.2900001</v>
      </c>
      <c r="J30" s="526">
        <v>646167225.06</v>
      </c>
      <c r="K30" s="573">
        <f t="shared" si="1"/>
        <v>86523792.23000014</v>
      </c>
    </row>
    <row r="31" spans="4:14" ht="15.75">
      <c r="D31" s="204" t="s">
        <v>1203</v>
      </c>
      <c r="F31" s="526">
        <f t="shared" si="4"/>
        <v>52798.45720999999</v>
      </c>
      <c r="G31" s="526">
        <f t="shared" si="4"/>
        <v>51551.276659999996</v>
      </c>
      <c r="H31" s="208"/>
      <c r="I31" s="526">
        <f>'Con B&amp;S'!H48</f>
        <v>52798457.20999999</v>
      </c>
      <c r="J31" s="526">
        <v>51551276.66</v>
      </c>
      <c r="K31" s="573">
        <f t="shared" si="1"/>
        <v>1247180.549999997</v>
      </c>
      <c r="N31" s="526"/>
    </row>
    <row r="32" spans="4:14" ht="15.75">
      <c r="D32" s="204" t="s">
        <v>1055</v>
      </c>
      <c r="F32" s="526">
        <f t="shared" si="4"/>
        <v>163955.37857</v>
      </c>
      <c r="G32" s="526">
        <f t="shared" si="4"/>
        <v>238321.89652000004</v>
      </c>
      <c r="H32" s="208"/>
      <c r="I32" s="526">
        <f>'Con B&amp;S'!H49+'Con B&amp;S'!H51+'Con B&amp;S'!H60+'Con B&amp;S'!H57+'Con B&amp;S'!H56</f>
        <v>163955378.57</v>
      </c>
      <c r="J32" s="526">
        <v>238321896.52000004</v>
      </c>
      <c r="K32" s="573">
        <f t="shared" si="1"/>
        <v>-74366517.95000005</v>
      </c>
      <c r="N32" s="526"/>
    </row>
    <row r="33" spans="4:11" ht="15.75">
      <c r="D33" s="204" t="s">
        <v>967</v>
      </c>
      <c r="F33" s="526">
        <f t="shared" si="4"/>
        <v>16804.55235</v>
      </c>
      <c r="G33" s="526">
        <f t="shared" si="4"/>
        <v>16546.097680000003</v>
      </c>
      <c r="H33" s="208"/>
      <c r="I33" s="526">
        <f>'Con B&amp;S'!H58</f>
        <v>16804552.35</v>
      </c>
      <c r="J33" s="526">
        <v>16546097.680000002</v>
      </c>
      <c r="K33" s="573">
        <f t="shared" si="1"/>
        <v>258454.66999999993</v>
      </c>
    </row>
    <row r="34" spans="4:11" ht="15.75">
      <c r="D34" s="204" t="s">
        <v>878</v>
      </c>
      <c r="F34" s="526">
        <f t="shared" si="4"/>
        <v>0</v>
      </c>
      <c r="G34" s="526">
        <f t="shared" si="4"/>
        <v>0</v>
      </c>
      <c r="H34" s="208"/>
      <c r="I34" s="526"/>
      <c r="J34" s="526"/>
      <c r="K34" s="573">
        <f t="shared" si="1"/>
        <v>0</v>
      </c>
    </row>
    <row r="35" spans="7:11" ht="15.75">
      <c r="G35" s="208"/>
      <c r="H35" s="208"/>
      <c r="I35" s="526"/>
      <c r="J35" s="526"/>
      <c r="K35" s="573">
        <f t="shared" si="1"/>
        <v>0</v>
      </c>
    </row>
    <row r="36" spans="6:11" ht="15.75">
      <c r="F36" s="542">
        <f>SUM(F30:F35)</f>
        <v>966249.4054200002</v>
      </c>
      <c r="G36" s="542">
        <f>SUM(G30:G35)</f>
        <v>952586.49592</v>
      </c>
      <c r="H36" s="208"/>
      <c r="I36" s="542">
        <f>SUM(I30:I35)</f>
        <v>966249405.4200002</v>
      </c>
      <c r="J36" s="542">
        <v>952586495.92</v>
      </c>
      <c r="K36" s="573">
        <f t="shared" si="1"/>
        <v>13662909.500000238</v>
      </c>
    </row>
    <row r="37" spans="6:11" ht="15.75">
      <c r="F37" s="528"/>
      <c r="G37" s="208"/>
      <c r="H37" s="208"/>
      <c r="I37" s="526"/>
      <c r="J37" s="526"/>
      <c r="K37" s="573">
        <f t="shared" si="1"/>
        <v>0</v>
      </c>
    </row>
    <row r="38" spans="7:11" ht="15.75">
      <c r="G38" s="208"/>
      <c r="H38" s="208"/>
      <c r="I38" s="526"/>
      <c r="J38" s="526"/>
      <c r="K38" s="573">
        <f t="shared" si="1"/>
        <v>0</v>
      </c>
    </row>
    <row r="39" spans="2:11" ht="15.75">
      <c r="B39" s="204">
        <v>7</v>
      </c>
      <c r="C39" s="204" t="s">
        <v>882</v>
      </c>
      <c r="F39" s="526">
        <f>+F28-F36</f>
        <v>-628360.4246200002</v>
      </c>
      <c r="G39" s="526">
        <f>+G28-G36</f>
        <v>-613080.61056</v>
      </c>
      <c r="H39" s="208"/>
      <c r="I39" s="526">
        <f>+I28-I36</f>
        <v>-628360424.6200001</v>
      </c>
      <c r="J39" s="526">
        <v>-613080610.56</v>
      </c>
      <c r="K39" s="573">
        <f t="shared" si="1"/>
        <v>-15279814.060000181</v>
      </c>
    </row>
    <row r="40" spans="7:11" ht="15.75">
      <c r="G40" s="208"/>
      <c r="H40" s="208"/>
      <c r="I40" s="526"/>
      <c r="J40" s="526"/>
      <c r="K40" s="573">
        <f t="shared" si="1"/>
        <v>0</v>
      </c>
    </row>
    <row r="41" spans="6:11" ht="16.5" thickBot="1">
      <c r="F41" s="541">
        <f>+SUM(F13:F16,F39)</f>
        <v>-400503.60886200017</v>
      </c>
      <c r="G41" s="541">
        <f>+SUM(G13:G16,G39)</f>
        <v>-373336.76808199997</v>
      </c>
      <c r="H41" s="208"/>
      <c r="I41" s="541">
        <f>+SUM(I13:I16,I39)</f>
        <v>-400503608.8620001</v>
      </c>
      <c r="J41" s="541">
        <v>-373336768.0819999</v>
      </c>
      <c r="K41" s="573">
        <f t="shared" si="1"/>
        <v>-27166840.78000021</v>
      </c>
    </row>
    <row r="42" spans="7:11" ht="16.5" thickTop="1">
      <c r="G42" s="208"/>
      <c r="H42" s="208"/>
      <c r="I42" s="526"/>
      <c r="J42" s="526"/>
      <c r="K42" s="573">
        <f t="shared" si="1"/>
        <v>0</v>
      </c>
    </row>
    <row r="43" spans="2:11" ht="15.75">
      <c r="B43" s="204">
        <v>8</v>
      </c>
      <c r="C43" s="204" t="s">
        <v>883</v>
      </c>
      <c r="G43" s="208"/>
      <c r="H43" s="208"/>
      <c r="I43" s="526"/>
      <c r="J43" s="526"/>
      <c r="K43" s="573">
        <f t="shared" si="1"/>
        <v>0</v>
      </c>
    </row>
    <row r="44" spans="3:11" ht="15.75">
      <c r="C44" s="204" t="s">
        <v>279</v>
      </c>
      <c r="F44" s="526">
        <f>+I44/1000</f>
        <v>188275.313</v>
      </c>
      <c r="G44" s="526">
        <f>+J44/1000</f>
        <v>188275.313</v>
      </c>
      <c r="H44" s="208"/>
      <c r="I44" s="526">
        <f>'Con B&amp;S'!H8</f>
        <v>188275313</v>
      </c>
      <c r="J44" s="526">
        <v>188275313</v>
      </c>
      <c r="K44" s="573">
        <f t="shared" si="1"/>
        <v>0</v>
      </c>
    </row>
    <row r="45" spans="3:11" ht="15.75">
      <c r="C45" s="204" t="s">
        <v>884</v>
      </c>
      <c r="F45" s="526"/>
      <c r="G45" s="526"/>
      <c r="H45" s="208"/>
      <c r="I45" s="526"/>
      <c r="J45" s="526"/>
      <c r="K45" s="573">
        <f t="shared" si="1"/>
        <v>0</v>
      </c>
    </row>
    <row r="46" spans="4:11" ht="15.75">
      <c r="D46" s="204" t="s">
        <v>885</v>
      </c>
      <c r="F46" s="526">
        <f aca="true" t="shared" si="5" ref="F46:G52">+I46/1000</f>
        <v>403165.878</v>
      </c>
      <c r="G46" s="526">
        <f t="shared" si="5"/>
        <v>403165.878</v>
      </c>
      <c r="H46" s="208"/>
      <c r="I46" s="526">
        <f>+'Con B&amp;S'!H10-'KLSE BS'!I49-'KLSE BS'!I51</f>
        <v>403165878</v>
      </c>
      <c r="J46" s="526">
        <f>403292628-126750</f>
        <v>403165878</v>
      </c>
      <c r="K46" s="573">
        <f t="shared" si="1"/>
        <v>0</v>
      </c>
    </row>
    <row r="47" spans="4:11" ht="15.75">
      <c r="D47" s="204" t="s">
        <v>886</v>
      </c>
      <c r="F47" s="526">
        <f t="shared" si="5"/>
        <v>0</v>
      </c>
      <c r="G47" s="526">
        <f t="shared" si="5"/>
        <v>0</v>
      </c>
      <c r="H47" s="208"/>
      <c r="I47" s="526"/>
      <c r="J47" s="526"/>
      <c r="K47" s="573">
        <f t="shared" si="1"/>
        <v>0</v>
      </c>
    </row>
    <row r="48" spans="4:11" ht="15.75">
      <c r="D48" s="204" t="s">
        <v>1205</v>
      </c>
      <c r="F48" s="526">
        <f t="shared" si="5"/>
        <v>0</v>
      </c>
      <c r="G48" s="526">
        <f t="shared" si="5"/>
        <v>0</v>
      </c>
      <c r="H48" s="208"/>
      <c r="I48" s="526"/>
      <c r="J48" s="526"/>
      <c r="K48" s="573">
        <f t="shared" si="1"/>
        <v>0</v>
      </c>
    </row>
    <row r="49" spans="5:11" ht="15.75">
      <c r="E49" s="204" t="s">
        <v>620</v>
      </c>
      <c r="F49" s="526">
        <f t="shared" si="5"/>
        <v>24711.492</v>
      </c>
      <c r="G49" s="526">
        <f t="shared" si="5"/>
        <v>24711.492</v>
      </c>
      <c r="H49" s="208"/>
      <c r="I49" s="526">
        <v>24711492</v>
      </c>
      <c r="J49" s="526">
        <v>24711492</v>
      </c>
      <c r="K49" s="573"/>
    </row>
    <row r="50" spans="5:11" ht="15.75">
      <c r="E50" s="204" t="s">
        <v>621</v>
      </c>
      <c r="F50" s="526">
        <f t="shared" si="5"/>
        <v>1095.53</v>
      </c>
      <c r="G50" s="526">
        <f t="shared" si="5"/>
        <v>1095.529</v>
      </c>
      <c r="H50" s="208"/>
      <c r="I50" s="526">
        <f>+'Con B&amp;S'!H11</f>
        <v>1095530</v>
      </c>
      <c r="J50" s="526">
        <v>1095529</v>
      </c>
      <c r="K50" s="573"/>
    </row>
    <row r="51" spans="5:11" ht="15.75">
      <c r="E51" s="204" t="s">
        <v>622</v>
      </c>
      <c r="F51" s="526">
        <f t="shared" si="5"/>
        <v>671.919</v>
      </c>
      <c r="G51" s="526">
        <f t="shared" si="5"/>
        <v>671.919</v>
      </c>
      <c r="H51" s="208"/>
      <c r="I51" s="526">
        <f>671919</f>
        <v>671919</v>
      </c>
      <c r="J51" s="526">
        <f>545169+126750</f>
        <v>671919</v>
      </c>
      <c r="K51" s="573"/>
    </row>
    <row r="52" spans="4:11" ht="15.75">
      <c r="D52" s="204" t="s">
        <v>887</v>
      </c>
      <c r="F52" s="526">
        <f t="shared" si="5"/>
        <v>0</v>
      </c>
      <c r="G52" s="526">
        <f t="shared" si="5"/>
        <v>0</v>
      </c>
      <c r="H52" s="208"/>
      <c r="I52" s="526"/>
      <c r="J52" s="526"/>
      <c r="K52" s="573">
        <f t="shared" si="1"/>
        <v>0</v>
      </c>
    </row>
    <row r="53" spans="6:11" ht="15.75">
      <c r="F53" s="526"/>
      <c r="G53" s="526"/>
      <c r="H53" s="208"/>
      <c r="I53" s="526"/>
      <c r="J53" s="526"/>
      <c r="K53" s="573"/>
    </row>
    <row r="54" spans="6:11" ht="15.75">
      <c r="F54" s="526"/>
      <c r="G54" s="526"/>
      <c r="H54" s="208"/>
      <c r="I54" s="526"/>
      <c r="J54" s="526"/>
      <c r="K54" s="573"/>
    </row>
    <row r="55" spans="4:11" ht="15.75">
      <c r="D55" s="204" t="s">
        <v>59</v>
      </c>
      <c r="F55" s="526">
        <f>+I55/1000</f>
        <v>-1036491.6040839998</v>
      </c>
      <c r="G55" s="526">
        <f>+J55/1000</f>
        <v>-1009324.7620859998</v>
      </c>
      <c r="H55" s="208"/>
      <c r="I55" s="526">
        <f>'Con B&amp;S'!H12</f>
        <v>-1036491604.0839998</v>
      </c>
      <c r="J55" s="526">
        <v>-1009324762.0859998</v>
      </c>
      <c r="K55" s="573">
        <f t="shared" si="1"/>
        <v>-27166841.997999907</v>
      </c>
    </row>
    <row r="56" ht="15.75">
      <c r="D56" s="204" t="s">
        <v>878</v>
      </c>
    </row>
    <row r="57" spans="6:11" ht="15.75">
      <c r="F57" s="526"/>
      <c r="G57" s="526"/>
      <c r="H57" s="208"/>
      <c r="I57" s="526"/>
      <c r="J57" s="526"/>
      <c r="K57" s="573">
        <f t="shared" si="1"/>
        <v>0</v>
      </c>
    </row>
    <row r="58" spans="7:11" ht="15.75">
      <c r="G58" s="208"/>
      <c r="H58" s="208"/>
      <c r="I58" s="526"/>
      <c r="J58" s="526"/>
      <c r="K58" s="573">
        <f t="shared" si="1"/>
        <v>0</v>
      </c>
    </row>
    <row r="59" spans="2:11" ht="15.75">
      <c r="B59" s="204">
        <v>9</v>
      </c>
      <c r="C59" s="204" t="s">
        <v>832</v>
      </c>
      <c r="F59" s="526">
        <f aca="true" t="shared" si="6" ref="F59:G61">+I59/1000</f>
        <v>0</v>
      </c>
      <c r="G59" s="526">
        <f t="shared" si="6"/>
        <v>0</v>
      </c>
      <c r="H59" s="208"/>
      <c r="I59" s="526">
        <f>'Con B&amp;S'!H14</f>
        <v>0</v>
      </c>
      <c r="J59" s="526">
        <v>0</v>
      </c>
      <c r="K59" s="573">
        <f t="shared" si="1"/>
        <v>0</v>
      </c>
    </row>
    <row r="60" spans="2:11" ht="15.75">
      <c r="B60" s="204">
        <v>10</v>
      </c>
      <c r="C60" s="204" t="s">
        <v>888</v>
      </c>
      <c r="F60" s="526">
        <f t="shared" si="6"/>
        <v>6206.13822</v>
      </c>
      <c r="G60" s="526">
        <f t="shared" si="6"/>
        <v>6206.138</v>
      </c>
      <c r="H60" s="208"/>
      <c r="I60" s="526">
        <f>'Con B&amp;S'!H18</f>
        <v>6206138.22</v>
      </c>
      <c r="J60" s="526">
        <v>6206138</v>
      </c>
      <c r="K60" s="573">
        <f t="shared" si="1"/>
        <v>0.21999999973922968</v>
      </c>
    </row>
    <row r="61" spans="2:11" ht="15.75">
      <c r="B61" s="204">
        <v>11</v>
      </c>
      <c r="C61" s="204" t="s">
        <v>891</v>
      </c>
      <c r="F61" s="526">
        <f t="shared" si="6"/>
        <v>11861.725</v>
      </c>
      <c r="G61" s="526">
        <f t="shared" si="6"/>
        <v>11861.725</v>
      </c>
      <c r="H61" s="208"/>
      <c r="I61" s="526">
        <f>'Con B&amp;S'!H17</f>
        <v>11861725</v>
      </c>
      <c r="J61" s="526">
        <v>11861725</v>
      </c>
      <c r="K61" s="573">
        <f t="shared" si="1"/>
        <v>0</v>
      </c>
    </row>
    <row r="62" spans="7:11" ht="15.75">
      <c r="G62" s="208"/>
      <c r="H62" s="208"/>
      <c r="I62" s="526"/>
      <c r="J62" s="526"/>
      <c r="K62" s="573">
        <f t="shared" si="1"/>
        <v>0</v>
      </c>
    </row>
    <row r="63" spans="6:11" ht="16.5" thickBot="1">
      <c r="F63" s="541">
        <f>SUM(F44:F62)</f>
        <v>-400503.6088639998</v>
      </c>
      <c r="G63" s="541">
        <f>SUM(G44:G62)</f>
        <v>-373336.76808599994</v>
      </c>
      <c r="H63" s="208"/>
      <c r="I63" s="541">
        <f>SUM(I44:I62)</f>
        <v>-400503608.8639997</v>
      </c>
      <c r="J63" s="541">
        <v>-373336768.08599985</v>
      </c>
      <c r="K63" s="573">
        <f t="shared" si="1"/>
        <v>-27166840.777999878</v>
      </c>
    </row>
    <row r="64" spans="6:11" ht="16.5" thickTop="1">
      <c r="F64" s="724"/>
      <c r="G64" s="724"/>
      <c r="H64" s="208"/>
      <c r="I64" s="724"/>
      <c r="J64" s="724"/>
      <c r="K64" s="573"/>
    </row>
    <row r="65" spans="3:11" ht="15.75">
      <c r="C65" s="204" t="s">
        <v>428</v>
      </c>
      <c r="F65" s="725">
        <f>SUM(F44:F55)/188275</f>
        <v>-2.223191990885671</v>
      </c>
      <c r="G65" s="725">
        <f>SUM(G44:G55)/188275</f>
        <v>-2.0788985849741066</v>
      </c>
      <c r="H65" s="208"/>
      <c r="I65" s="526"/>
      <c r="J65" s="526"/>
      <c r="K65" s="573">
        <f t="shared" si="1"/>
        <v>0</v>
      </c>
    </row>
    <row r="66" spans="7:11" ht="15.75">
      <c r="G66" s="208"/>
      <c r="H66" s="208"/>
      <c r="I66" s="526"/>
      <c r="J66" s="526"/>
      <c r="K66" s="573"/>
    </row>
    <row r="67" spans="6:11" ht="15.75">
      <c r="F67" s="526">
        <f>+F41-F63</f>
        <v>1.999607775360346E-06</v>
      </c>
      <c r="G67" s="208">
        <f>+G41-G63</f>
        <v>3.999972250312567E-06</v>
      </c>
      <c r="H67" s="208"/>
      <c r="I67" s="526">
        <f>+I41-I63</f>
        <v>0.0019996166229248047</v>
      </c>
      <c r="J67" s="526">
        <f>+J41-J63</f>
        <v>0.003999948501586914</v>
      </c>
      <c r="K67" s="573">
        <f t="shared" si="1"/>
        <v>-0.0020003318786621094</v>
      </c>
    </row>
    <row r="68" spans="7:11" ht="15.75">
      <c r="G68" s="208"/>
      <c r="H68" s="208"/>
      <c r="I68" s="526"/>
      <c r="J68" s="526"/>
      <c r="K68" s="526"/>
    </row>
    <row r="69" spans="7:11" ht="15.75">
      <c r="G69" s="208"/>
      <c r="H69" s="208"/>
      <c r="I69" s="526"/>
      <c r="J69" s="526"/>
      <c r="K69" s="526"/>
    </row>
    <row r="70" spans="7:11" ht="15.75">
      <c r="G70" s="208"/>
      <c r="H70" s="208"/>
      <c r="I70" s="526"/>
      <c r="J70" s="526"/>
      <c r="K70" s="526"/>
    </row>
    <row r="71" spans="7:11" ht="15.75">
      <c r="G71" s="208"/>
      <c r="H71" s="208"/>
      <c r="I71" s="526"/>
      <c r="J71" s="526"/>
      <c r="K71" s="526"/>
    </row>
    <row r="72" spans="7:11" ht="15.75">
      <c r="G72" s="208"/>
      <c r="H72" s="208"/>
      <c r="I72" s="526"/>
      <c r="J72" s="526"/>
      <c r="K72" s="526"/>
    </row>
    <row r="73" spans="7:11" ht="15.75">
      <c r="G73" s="208"/>
      <c r="H73" s="208"/>
      <c r="I73" s="526"/>
      <c r="J73" s="526"/>
      <c r="K73" s="526"/>
    </row>
    <row r="74" spans="7:11" ht="15.75">
      <c r="G74" s="208"/>
      <c r="H74" s="208"/>
      <c r="I74" s="526"/>
      <c r="J74" s="526"/>
      <c r="K74" s="526"/>
    </row>
    <row r="75" spans="7:11" ht="15.75">
      <c r="G75" s="208"/>
      <c r="H75" s="208"/>
      <c r="I75" s="526"/>
      <c r="J75" s="526"/>
      <c r="K75" s="526"/>
    </row>
    <row r="76" spans="7:11" ht="15.75">
      <c r="G76" s="208"/>
      <c r="H76" s="208"/>
      <c r="I76" s="526"/>
      <c r="J76" s="526"/>
      <c r="K76" s="526"/>
    </row>
    <row r="77" spans="7:11" ht="15.75">
      <c r="G77" s="208"/>
      <c r="H77" s="208"/>
      <c r="I77" s="526"/>
      <c r="J77" s="526"/>
      <c r="K77" s="526"/>
    </row>
    <row r="78" spans="7:11" ht="15.75">
      <c r="G78" s="208"/>
      <c r="H78" s="208"/>
      <c r="I78" s="526"/>
      <c r="J78" s="526"/>
      <c r="K78" s="526"/>
    </row>
    <row r="79" spans="7:11" ht="15.75">
      <c r="G79" s="208"/>
      <c r="H79" s="208"/>
      <c r="I79" s="526"/>
      <c r="J79" s="526"/>
      <c r="K79" s="526"/>
    </row>
    <row r="80" spans="7:11" ht="15.75">
      <c r="G80" s="208"/>
      <c r="H80" s="208"/>
      <c r="I80" s="526"/>
      <c r="J80" s="526"/>
      <c r="K80" s="526"/>
    </row>
    <row r="81" spans="7:11" ht="15.75">
      <c r="G81" s="208"/>
      <c r="H81" s="208"/>
      <c r="I81" s="526"/>
      <c r="J81" s="526"/>
      <c r="K81" s="526"/>
    </row>
    <row r="82" spans="7:11" ht="15.75">
      <c r="G82" s="208"/>
      <c r="H82" s="208"/>
      <c r="I82" s="526"/>
      <c r="J82" s="526"/>
      <c r="K82" s="526"/>
    </row>
    <row r="83" spans="7:11" ht="15.75">
      <c r="G83" s="208"/>
      <c r="H83" s="208"/>
      <c r="I83" s="526"/>
      <c r="J83" s="526"/>
      <c r="K83" s="526"/>
    </row>
    <row r="84" spans="7:11" ht="15.75">
      <c r="G84" s="208"/>
      <c r="H84" s="208"/>
      <c r="I84" s="526"/>
      <c r="J84" s="526"/>
      <c r="K84" s="526"/>
    </row>
    <row r="85" spans="7:11" ht="15.75">
      <c r="G85" s="208"/>
      <c r="H85" s="208"/>
      <c r="I85" s="526"/>
      <c r="J85" s="526"/>
      <c r="K85" s="526"/>
    </row>
    <row r="86" spans="7:11" ht="15.75">
      <c r="G86" s="208"/>
      <c r="H86" s="208"/>
      <c r="I86" s="526"/>
      <c r="J86" s="526"/>
      <c r="K86" s="526"/>
    </row>
    <row r="87" spans="7:11" ht="15.75">
      <c r="G87" s="208"/>
      <c r="H87" s="208"/>
      <c r="I87" s="526"/>
      <c r="J87" s="526"/>
      <c r="K87" s="526"/>
    </row>
    <row r="88" spans="7:11" ht="15.75">
      <c r="G88" s="208"/>
      <c r="H88" s="208"/>
      <c r="I88" s="526"/>
      <c r="J88" s="526"/>
      <c r="K88" s="526"/>
    </row>
    <row r="89" spans="7:11" ht="15.75">
      <c r="G89" s="208"/>
      <c r="H89" s="208"/>
      <c r="I89" s="526"/>
      <c r="J89" s="526"/>
      <c r="K89" s="526"/>
    </row>
    <row r="90" spans="7:11" ht="15.75">
      <c r="G90" s="208"/>
      <c r="H90" s="208"/>
      <c r="I90" s="526"/>
      <c r="J90" s="526"/>
      <c r="K90" s="526"/>
    </row>
    <row r="91" spans="7:11" ht="15.75">
      <c r="G91" s="208"/>
      <c r="H91" s="208"/>
      <c r="I91" s="526"/>
      <c r="J91" s="526"/>
      <c r="K91" s="526"/>
    </row>
    <row r="92" spans="7:11" ht="15.75">
      <c r="G92" s="208"/>
      <c r="H92" s="208"/>
      <c r="I92" s="526"/>
      <c r="J92" s="526"/>
      <c r="K92" s="526"/>
    </row>
    <row r="93" spans="7:11" ht="15.75">
      <c r="G93" s="208"/>
      <c r="H93" s="208"/>
      <c r="I93" s="526"/>
      <c r="J93" s="526"/>
      <c r="K93" s="526"/>
    </row>
    <row r="94" spans="7:11" ht="15.75">
      <c r="G94" s="208"/>
      <c r="H94" s="208"/>
      <c r="I94" s="526"/>
      <c r="J94" s="526"/>
      <c r="K94" s="526"/>
    </row>
    <row r="95" spans="7:11" ht="15.75">
      <c r="G95" s="208"/>
      <c r="H95" s="208"/>
      <c r="I95" s="526"/>
      <c r="J95" s="526"/>
      <c r="K95" s="526"/>
    </row>
    <row r="96" spans="7:11" ht="15.75">
      <c r="G96" s="208"/>
      <c r="H96" s="208"/>
      <c r="I96" s="526"/>
      <c r="J96" s="526"/>
      <c r="K96" s="526"/>
    </row>
  </sheetData>
  <printOptions/>
  <pageMargins left="0.87" right="0.52" top="1" bottom="0.53" header="0.5" footer="0.5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2"/>
  <sheetViews>
    <sheetView tabSelected="1" zoomScale="75" zoomScaleNormal="75" workbookViewId="0" topLeftCell="A54">
      <selection activeCell="K69" sqref="K69"/>
    </sheetView>
  </sheetViews>
  <sheetFormatPr defaultColWidth="9.140625" defaultRowHeight="12.75"/>
  <cols>
    <col min="1" max="1" width="3.140625" style="0" customWidth="1"/>
    <col min="2" max="2" width="4.57421875" style="0" customWidth="1"/>
    <col min="5" max="5" width="11.421875" style="0" bestFit="1" customWidth="1"/>
    <col min="6" max="6" width="9.8515625" style="0" customWidth="1"/>
    <col min="9" max="9" width="14.00390625" style="0" bestFit="1" customWidth="1"/>
    <col min="10" max="10" width="13.00390625" style="0" bestFit="1" customWidth="1"/>
    <col min="11" max="11" width="11.7109375" style="0" bestFit="1" customWidth="1"/>
  </cols>
  <sheetData>
    <row r="2" ht="12.75">
      <c r="A2" s="185" t="s">
        <v>1383</v>
      </c>
    </row>
    <row r="3" ht="12.75">
      <c r="A3" s="185" t="s">
        <v>1390</v>
      </c>
    </row>
    <row r="4" ht="12.75">
      <c r="A4" s="185"/>
    </row>
    <row r="5" ht="12.75">
      <c r="A5" s="547" t="s">
        <v>892</v>
      </c>
    </row>
    <row r="7" spans="1:2" ht="12.75">
      <c r="A7">
        <v>1</v>
      </c>
      <c r="B7" s="185" t="s">
        <v>462</v>
      </c>
    </row>
    <row r="8" ht="12.75">
      <c r="B8" t="s">
        <v>1226</v>
      </c>
    </row>
    <row r="9" ht="12.75">
      <c r="B9" t="s">
        <v>461</v>
      </c>
    </row>
    <row r="11" spans="1:11" ht="13.5" customHeight="1">
      <c r="A11">
        <v>2</v>
      </c>
      <c r="B11" s="185" t="s">
        <v>893</v>
      </c>
      <c r="I11" s="178" t="s">
        <v>463</v>
      </c>
      <c r="K11" s="178" t="s">
        <v>465</v>
      </c>
    </row>
    <row r="12" spans="2:11" ht="13.5" customHeight="1">
      <c r="B12" s="185"/>
      <c r="I12" s="178" t="s">
        <v>464</v>
      </c>
      <c r="K12" s="178" t="s">
        <v>466</v>
      </c>
    </row>
    <row r="13" spans="2:11" ht="13.5" customHeight="1">
      <c r="B13" s="185"/>
      <c r="I13" s="178" t="s">
        <v>1230</v>
      </c>
      <c r="K13" s="178" t="s">
        <v>1230</v>
      </c>
    </row>
    <row r="14" spans="2:11" ht="13.5" customHeight="1">
      <c r="B14" s="185"/>
      <c r="I14" s="178" t="s">
        <v>287</v>
      </c>
      <c r="K14" s="178" t="s">
        <v>287</v>
      </c>
    </row>
    <row r="15" spans="2:11" ht="13.5" customHeight="1">
      <c r="B15" s="185"/>
      <c r="I15" s="178"/>
      <c r="K15" s="178"/>
    </row>
    <row r="16" spans="9:11" ht="12.75">
      <c r="I16" s="536">
        <v>0</v>
      </c>
      <c r="K16" s="572">
        <v>0</v>
      </c>
    </row>
    <row r="17" spans="9:11" ht="12.75">
      <c r="I17" s="536"/>
      <c r="K17" s="572"/>
    </row>
    <row r="19" spans="1:2" ht="12.75">
      <c r="A19">
        <v>3</v>
      </c>
      <c r="B19" s="185" t="s">
        <v>467</v>
      </c>
    </row>
    <row r="20" ht="12.75">
      <c r="B20" s="181" t="s">
        <v>429</v>
      </c>
    </row>
    <row r="22" spans="1:11" ht="12.75">
      <c r="A22">
        <v>4</v>
      </c>
      <c r="B22" s="185" t="s">
        <v>125</v>
      </c>
      <c r="I22" s="178" t="s">
        <v>463</v>
      </c>
      <c r="K22" s="178" t="s">
        <v>465</v>
      </c>
    </row>
    <row r="23" spans="2:11" ht="12.75">
      <c r="B23" s="185"/>
      <c r="I23" s="178" t="s">
        <v>464</v>
      </c>
      <c r="K23" s="178" t="s">
        <v>466</v>
      </c>
    </row>
    <row r="24" spans="2:11" ht="12.75">
      <c r="B24" s="185"/>
      <c r="I24" s="178" t="s">
        <v>623</v>
      </c>
      <c r="K24" s="178" t="s">
        <v>623</v>
      </c>
    </row>
    <row r="25" spans="2:11" ht="12.75">
      <c r="B25" s="185"/>
      <c r="I25" s="178" t="s">
        <v>287</v>
      </c>
      <c r="K25" s="178" t="s">
        <v>287</v>
      </c>
    </row>
    <row r="26" ht="12.75">
      <c r="B26" s="185"/>
    </row>
    <row r="27" spans="2:11" ht="12.75">
      <c r="B27" s="537" t="s">
        <v>1160</v>
      </c>
      <c r="C27" t="s">
        <v>468</v>
      </c>
      <c r="I27" s="180">
        <f>-'KLSE PL'!G59</f>
        <v>375.569152</v>
      </c>
      <c r="K27" s="180">
        <f>-'KLSE PL'!I59-K28</f>
        <v>375.569152</v>
      </c>
    </row>
    <row r="28" spans="2:12" ht="12.75">
      <c r="B28" t="s">
        <v>1161</v>
      </c>
      <c r="C28" t="s">
        <v>469</v>
      </c>
      <c r="I28" s="180">
        <v>0</v>
      </c>
      <c r="K28" s="180">
        <v>0</v>
      </c>
      <c r="L28" s="186"/>
    </row>
    <row r="29" spans="9:11" ht="12.75">
      <c r="I29" s="180"/>
      <c r="K29" s="180"/>
    </row>
    <row r="31" spans="1:2" ht="12.75">
      <c r="A31">
        <v>5</v>
      </c>
      <c r="B31" t="s">
        <v>907</v>
      </c>
    </row>
    <row r="33" spans="1:2" ht="12.75">
      <c r="A33">
        <v>6</v>
      </c>
      <c r="B33" t="s">
        <v>453</v>
      </c>
    </row>
    <row r="35" spans="1:2" ht="12.75">
      <c r="A35">
        <v>7</v>
      </c>
      <c r="B35" t="s">
        <v>430</v>
      </c>
    </row>
    <row r="37" spans="1:2" ht="12.75">
      <c r="A37">
        <v>8</v>
      </c>
      <c r="B37" s="185" t="s">
        <v>470</v>
      </c>
    </row>
    <row r="38" ht="12.75">
      <c r="B38" s="181"/>
    </row>
    <row r="39" ht="12.75">
      <c r="B39" s="181" t="s">
        <v>1386</v>
      </c>
    </row>
    <row r="40" ht="12.75">
      <c r="B40" t="s">
        <v>1387</v>
      </c>
    </row>
    <row r="41" ht="12.75">
      <c r="B41" t="s">
        <v>1388</v>
      </c>
    </row>
    <row r="43" spans="1:2" ht="12.75">
      <c r="A43">
        <v>9</v>
      </c>
      <c r="B43" s="185" t="s">
        <v>471</v>
      </c>
    </row>
    <row r="45" ht="12.75">
      <c r="B45" t="s">
        <v>652</v>
      </c>
    </row>
    <row r="46" ht="12.75">
      <c r="B46" t="s">
        <v>653</v>
      </c>
    </row>
    <row r="47" ht="12.75">
      <c r="C47" t="s">
        <v>654</v>
      </c>
    </row>
    <row r="48" ht="12.75">
      <c r="C48" t="s">
        <v>655</v>
      </c>
    </row>
    <row r="49" ht="12.75">
      <c r="C49" t="s">
        <v>656</v>
      </c>
    </row>
    <row r="50" ht="12.75">
      <c r="C50" t="s">
        <v>657</v>
      </c>
    </row>
    <row r="51" ht="12.75">
      <c r="C51" t="s">
        <v>658</v>
      </c>
    </row>
    <row r="52" ht="12.75">
      <c r="C52" t="s">
        <v>659</v>
      </c>
    </row>
    <row r="53" ht="12.75">
      <c r="C53" t="s">
        <v>660</v>
      </c>
    </row>
    <row r="54" ht="12.75">
      <c r="C54" t="s">
        <v>661</v>
      </c>
    </row>
    <row r="56" ht="12.75">
      <c r="C56" t="s">
        <v>662</v>
      </c>
    </row>
    <row r="58" ht="12.75">
      <c r="B58" t="s">
        <v>663</v>
      </c>
    </row>
    <row r="59" ht="12.75">
      <c r="B59" t="s">
        <v>664</v>
      </c>
    </row>
    <row r="61" ht="12.75">
      <c r="B61" t="s">
        <v>764</v>
      </c>
    </row>
    <row r="63" spans="1:2" ht="12.75">
      <c r="A63">
        <v>10</v>
      </c>
      <c r="B63" s="185" t="s">
        <v>472</v>
      </c>
    </row>
    <row r="64" ht="12.75">
      <c r="B64" t="s">
        <v>473</v>
      </c>
    </row>
    <row r="66" spans="1:2" ht="12.75">
      <c r="A66">
        <v>11</v>
      </c>
      <c r="B66" s="185" t="s">
        <v>474</v>
      </c>
    </row>
    <row r="67" ht="12.75">
      <c r="B67" t="s">
        <v>475</v>
      </c>
    </row>
    <row r="68" ht="12.75">
      <c r="B68" t="s">
        <v>894</v>
      </c>
    </row>
    <row r="70" spans="1:2" ht="12.75">
      <c r="A70">
        <v>12</v>
      </c>
      <c r="B70" s="185" t="s">
        <v>476</v>
      </c>
    </row>
    <row r="71" ht="12.75">
      <c r="B71" t="s">
        <v>1389</v>
      </c>
    </row>
    <row r="73" spans="6:9" s="189" customFormat="1" ht="12.75">
      <c r="F73" s="543" t="s">
        <v>895</v>
      </c>
      <c r="I73" s="543" t="s">
        <v>896</v>
      </c>
    </row>
    <row r="74" spans="6:9" s="189" customFormat="1" ht="12.75">
      <c r="F74" s="544" t="s">
        <v>287</v>
      </c>
      <c r="G74" s="545"/>
      <c r="H74" s="545"/>
      <c r="I74" s="544" t="s">
        <v>287</v>
      </c>
    </row>
    <row r="75" spans="6:9" s="189" customFormat="1" ht="12.75">
      <c r="F75" s="544"/>
      <c r="G75" s="545"/>
      <c r="H75" s="545"/>
      <c r="I75" s="544"/>
    </row>
    <row r="76" spans="2:9" s="189" customFormat="1" ht="12.75">
      <c r="B76" s="571"/>
      <c r="C76" s="571" t="s">
        <v>897</v>
      </c>
      <c r="D76" s="571"/>
      <c r="E76" s="571"/>
      <c r="F76" s="604" t="s">
        <v>487</v>
      </c>
      <c r="G76" s="604"/>
      <c r="H76" s="604"/>
      <c r="I76" s="605">
        <v>6206</v>
      </c>
    </row>
    <row r="77" spans="2:10" s="189" customFormat="1" ht="12.75">
      <c r="B77" s="571"/>
      <c r="C77" s="571" t="s">
        <v>898</v>
      </c>
      <c r="D77" s="571"/>
      <c r="E77" s="571"/>
      <c r="F77" s="606">
        <f>'KLSE BS'!F30-I77</f>
        <v>688401.8356773973</v>
      </c>
      <c r="G77" s="604"/>
      <c r="H77" s="604"/>
      <c r="I77" s="605">
        <f>'Con B&amp;S'!C114/1000</f>
        <v>44289.18161260275</v>
      </c>
      <c r="J77" s="607"/>
    </row>
    <row r="78" spans="2:9" s="189" customFormat="1" ht="12.75">
      <c r="B78" s="571"/>
      <c r="C78" s="571"/>
      <c r="D78" s="571"/>
      <c r="E78" s="571"/>
      <c r="F78" s="571"/>
      <c r="G78" s="571"/>
      <c r="H78" s="571"/>
      <c r="I78" s="571"/>
    </row>
    <row r="79" s="189" customFormat="1" ht="12.75">
      <c r="C79" s="189" t="s">
        <v>478</v>
      </c>
    </row>
    <row r="80" s="189" customFormat="1" ht="12.75">
      <c r="C80" s="189" t="s">
        <v>477</v>
      </c>
    </row>
    <row r="82" spans="1:2" ht="12.75">
      <c r="A82">
        <v>13</v>
      </c>
      <c r="B82" s="185" t="s">
        <v>479</v>
      </c>
    </row>
    <row r="83" ht="12.75">
      <c r="B83" s="181" t="s">
        <v>496</v>
      </c>
    </row>
    <row r="84" ht="12.75">
      <c r="B84" s="537"/>
    </row>
    <row r="85" ht="12.75">
      <c r="B85" s="181"/>
    </row>
    <row r="86" spans="1:2" ht="12.75">
      <c r="A86">
        <v>14</v>
      </c>
      <c r="B86" s="185" t="s">
        <v>481</v>
      </c>
    </row>
    <row r="87" ht="12.75">
      <c r="B87" t="s">
        <v>482</v>
      </c>
    </row>
    <row r="89" spans="1:2" ht="12.75">
      <c r="A89">
        <v>15</v>
      </c>
      <c r="B89" s="185" t="s">
        <v>483</v>
      </c>
    </row>
    <row r="90" ht="12.75">
      <c r="B90" t="s">
        <v>431</v>
      </c>
    </row>
    <row r="91" ht="12.75">
      <c r="B91" t="s">
        <v>432</v>
      </c>
    </row>
    <row r="93" spans="1:2" ht="12.75">
      <c r="A93">
        <v>16</v>
      </c>
      <c r="B93" s="185" t="s">
        <v>484</v>
      </c>
    </row>
    <row r="94" ht="12.75">
      <c r="B94" s="181" t="s">
        <v>1227</v>
      </c>
    </row>
    <row r="95" ht="12.75">
      <c r="B95" s="185"/>
    </row>
    <row r="96" spans="6:11" ht="12.75">
      <c r="F96" t="s">
        <v>1155</v>
      </c>
      <c r="H96" t="s">
        <v>902</v>
      </c>
      <c r="K96" t="s">
        <v>903</v>
      </c>
    </row>
    <row r="97" spans="6:11" ht="12.75">
      <c r="F97" s="176" t="s">
        <v>287</v>
      </c>
      <c r="G97" s="176"/>
      <c r="H97" s="176"/>
      <c r="I97" s="176" t="s">
        <v>287</v>
      </c>
      <c r="J97" s="176"/>
      <c r="K97" s="176" t="s">
        <v>287</v>
      </c>
    </row>
    <row r="98" spans="3:11" s="189" customFormat="1" ht="12.75">
      <c r="C98" s="189" t="s">
        <v>899</v>
      </c>
      <c r="F98" s="535">
        <f>'Con P&amp;L'!C53/1000</f>
        <v>598.5</v>
      </c>
      <c r="I98" s="535">
        <f>'Con P&amp;L'!D53/1000</f>
        <v>-4524.04809</v>
      </c>
      <c r="K98" s="535">
        <f>'Con B&amp;S'!B94/1000</f>
        <v>216265.5115</v>
      </c>
    </row>
    <row r="99" spans="3:11" s="189" customFormat="1" ht="12.75">
      <c r="C99" s="189" t="s">
        <v>904</v>
      </c>
      <c r="F99" s="535">
        <f>'Con P&amp;L'!C54/1000</f>
        <v>4125.249</v>
      </c>
      <c r="I99" s="535">
        <f>'Con P&amp;L'!D54/1000</f>
        <v>-7800.49385</v>
      </c>
      <c r="K99" s="535">
        <f>'Con B&amp;S'!B95/1000</f>
        <v>326517.39111799997</v>
      </c>
    </row>
    <row r="100" spans="3:11" s="189" customFormat="1" ht="12.75">
      <c r="C100" s="189" t="s">
        <v>900</v>
      </c>
      <c r="F100" s="535">
        <f>'Con P&amp;L'!C55/1000</f>
        <v>2396.055</v>
      </c>
      <c r="I100" s="535">
        <f>'Con P&amp;L'!D55/1000</f>
        <v>-240.329</v>
      </c>
      <c r="K100" s="535">
        <f>'Con B&amp;S'!B96/1000</f>
        <v>3581.391</v>
      </c>
    </row>
    <row r="101" spans="3:11" s="189" customFormat="1" ht="12.75">
      <c r="C101" s="189" t="s">
        <v>901</v>
      </c>
      <c r="F101" s="535">
        <f>'Con P&amp;L'!C56/1000</f>
        <v>291.127</v>
      </c>
      <c r="I101" s="535">
        <f>'Con P&amp;L'!D56/1000</f>
        <v>-1456.252</v>
      </c>
      <c r="K101" s="535">
        <f>'Con B&amp;S'!B97/1000</f>
        <v>18097.938</v>
      </c>
    </row>
    <row r="102" spans="3:11" s="189" customFormat="1" ht="12.75">
      <c r="C102" s="189" t="s">
        <v>878</v>
      </c>
      <c r="F102" s="535">
        <f>'Con P&amp;L'!C57/1000</f>
        <v>1303.7334099999998</v>
      </c>
      <c r="I102" s="535">
        <f>'Con P&amp;L'!D57/1000</f>
        <v>-249.4217</v>
      </c>
      <c r="K102" s="535">
        <f>'Con B&amp;S'!B98/1000</f>
        <v>1283.56534</v>
      </c>
    </row>
    <row r="103" spans="6:11" ht="12.75">
      <c r="F103" s="568">
        <f>SUM(F98:F102)</f>
        <v>8714.664410000001</v>
      </c>
      <c r="I103" s="643">
        <f>SUM(I98:I102)</f>
        <v>-14270.54464</v>
      </c>
      <c r="J103" s="189"/>
      <c r="K103" s="643">
        <f>SUM(K98:K102)</f>
        <v>565745.7969579998</v>
      </c>
    </row>
    <row r="105" spans="1:2" s="189" customFormat="1" ht="12.75">
      <c r="A105" s="189">
        <v>17</v>
      </c>
      <c r="B105" s="546" t="s">
        <v>1228</v>
      </c>
    </row>
    <row r="106" s="189" customFormat="1" ht="12.75">
      <c r="B106" s="603" t="s">
        <v>1229</v>
      </c>
    </row>
    <row r="108" spans="1:2" s="189" customFormat="1" ht="12.75">
      <c r="A108" s="189">
        <v>18</v>
      </c>
      <c r="B108" s="546" t="s">
        <v>905</v>
      </c>
    </row>
    <row r="109" s="189" customFormat="1" ht="12.75">
      <c r="B109" s="189" t="s">
        <v>497</v>
      </c>
    </row>
    <row r="110" s="189" customFormat="1" ht="12.75">
      <c r="B110" s="189" t="s">
        <v>498</v>
      </c>
    </row>
    <row r="112" spans="1:2" s="189" customFormat="1" ht="12.75">
      <c r="A112" s="189">
        <v>19</v>
      </c>
      <c r="B112" s="546" t="s">
        <v>906</v>
      </c>
    </row>
    <row r="113" s="189" customFormat="1" ht="12.75">
      <c r="B113" t="s">
        <v>504</v>
      </c>
    </row>
    <row r="114" ht="12.75">
      <c r="B114" s="189" t="s">
        <v>523</v>
      </c>
    </row>
    <row r="115" ht="12.75">
      <c r="B115" s="189"/>
    </row>
    <row r="116" spans="1:2" ht="12.75">
      <c r="A116">
        <v>20</v>
      </c>
      <c r="B116" s="185" t="s">
        <v>485</v>
      </c>
    </row>
    <row r="117" ht="12.75">
      <c r="B117" t="s">
        <v>499</v>
      </c>
    </row>
    <row r="119" spans="1:2" ht="12.75">
      <c r="A119">
        <v>21</v>
      </c>
      <c r="B119" s="185" t="s">
        <v>500</v>
      </c>
    </row>
    <row r="120" ht="12.75">
      <c r="B120" t="s">
        <v>501</v>
      </c>
    </row>
    <row r="122" ht="12.75">
      <c r="B122" s="185"/>
    </row>
  </sheetData>
  <printOptions/>
  <pageMargins left="0.75" right="0.75" top="1" bottom="1" header="0.5" footer="0.5"/>
  <pageSetup fitToHeight="2" fitToWidth="1" horizontalDpi="600" verticalDpi="600" orientation="portrait" paperSize="9" scale="77" r:id="rId1"/>
  <rowBreaks count="1" manualBreakCount="1">
    <brk id="1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AA133P</cp:lastModifiedBy>
  <cp:lastPrinted>2001-01-12T11:35:31Z</cp:lastPrinted>
  <dcterms:created xsi:type="dcterms:W3CDTF">1998-09-23T07:08:42Z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